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45" windowHeight="5670" activeTab="0"/>
  </bookViews>
  <sheets>
    <sheet name="NRAABUD" sheetId="1" r:id="rId1"/>
  </sheets>
  <definedNames>
    <definedName name="_xlnm.Print_Area" localSheetId="0">'NRAABUD'!$A$1:$AA$63</definedName>
    <definedName name="_xlnm.Print_Titles" localSheetId="0">'NRAABUD'!$1:$2</definedName>
  </definedNames>
  <calcPr fullCalcOnLoad="1"/>
</workbook>
</file>

<file path=xl/sharedStrings.xml><?xml version="1.0" encoding="utf-8"?>
<sst xmlns="http://schemas.openxmlformats.org/spreadsheetml/2006/main" count="132" uniqueCount="65">
  <si>
    <t>FY 1996</t>
  </si>
  <si>
    <t>FY 1997</t>
  </si>
  <si>
    <t>% of</t>
  </si>
  <si>
    <t>FY 1998</t>
  </si>
  <si>
    <t>FY 1999</t>
  </si>
  <si>
    <t>Budget</t>
  </si>
  <si>
    <t>Actual</t>
  </si>
  <si>
    <t>Dues</t>
  </si>
  <si>
    <t>NRA Rebate</t>
  </si>
  <si>
    <t>Operating Fund Interest</t>
  </si>
  <si>
    <t>Sponsor/ Donors</t>
  </si>
  <si>
    <t>Training</t>
  </si>
  <si>
    <t>Other</t>
  </si>
  <si>
    <t>TOTAL</t>
  </si>
  <si>
    <t>Membership:</t>
  </si>
  <si>
    <t>&gt; Mailing, Printing</t>
  </si>
  <si>
    <t>&gt; Travel</t>
  </si>
  <si>
    <t>Subtotal, Membership</t>
  </si>
  <si>
    <t>Board of Directors:</t>
  </si>
  <si>
    <t>Subtotal, Board</t>
  </si>
  <si>
    <t>Grants:</t>
  </si>
  <si>
    <t>&gt; Regional</t>
  </si>
  <si>
    <t>&gt; State</t>
  </si>
  <si>
    <t>Subtotal, Grants</t>
  </si>
  <si>
    <t>Awards:</t>
  </si>
  <si>
    <t>Subtotal, Awards</t>
  </si>
  <si>
    <t>National Conference</t>
  </si>
  <si>
    <t>Subtotal, Conference</t>
  </si>
  <si>
    <t>Publications:</t>
  </si>
  <si>
    <t>&gt; Newsletter</t>
  </si>
  <si>
    <t>&gt; Journal</t>
  </si>
  <si>
    <t>&gt;Travel</t>
  </si>
  <si>
    <t>Subtotal, Publications</t>
  </si>
  <si>
    <t>Special Projects</t>
  </si>
  <si>
    <t xml:space="preserve">&gt; NRAA Rep To NRA </t>
  </si>
  <si>
    <t>Subtotal, Spec. Proj.</t>
  </si>
  <si>
    <t>Other Expense</t>
  </si>
  <si>
    <t>&gt; Audit</t>
  </si>
  <si>
    <t>&gt; Office Operations</t>
  </si>
  <si>
    <t>Subtotal, Other</t>
  </si>
  <si>
    <t>TOTAL EXPENSE</t>
  </si>
  <si>
    <t>FUND BAL CHANGE</t>
  </si>
  <si>
    <t>Cash</t>
  </si>
  <si>
    <t>Mid Year</t>
  </si>
  <si>
    <t>Annual</t>
  </si>
  <si>
    <t>$$$$$$$$$$$</t>
  </si>
  <si>
    <t>XX</t>
  </si>
  <si>
    <t>oo</t>
  </si>
  <si>
    <t>&gt; Training</t>
  </si>
  <si>
    <t>FY 2000</t>
  </si>
  <si>
    <t>%</t>
  </si>
  <si>
    <t>&gt;Hotel &amp; Speakers</t>
  </si>
  <si>
    <t>&gt; NRAA Web</t>
  </si>
  <si>
    <t>Interest</t>
  </si>
  <si>
    <t>&gt; Board Meetings</t>
  </si>
  <si>
    <t>FY 2001</t>
  </si>
  <si>
    <t>Board Teleconferences</t>
  </si>
  <si>
    <t>INCOME</t>
  </si>
  <si>
    <t>EXPENSE</t>
  </si>
  <si>
    <t>&gt; Awards</t>
  </si>
  <si>
    <t>FY 2002</t>
  </si>
  <si>
    <t>FY 2003</t>
  </si>
  <si>
    <t>2003 - based on 325 members</t>
  </si>
  <si>
    <t>(proposed)</t>
  </si>
  <si>
    <t>&gt; NRA Donation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</si>
</sst>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&quot;$&quot;#,##0.0_);[Red]\(&quot;$&quot;#,##0.0\)"/>
    <numFmt numFmtId="167" formatCode="&quot;$&quot;#,##0.000_);[Red]\(&quot;$&quot;#,##0.000\)"/>
    <numFmt numFmtId="168" formatCode="0.0"/>
  </numFmts>
  <fonts count="1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6" fontId="5" fillId="0" borderId="0" xfId="0" applyNumberFormat="1" applyFont="1" applyAlignment="1">
      <alignment horizontal="center"/>
    </xf>
    <xf numFmtId="5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6" fontId="4" fillId="0" borderId="0" xfId="0" applyNumberFormat="1" applyFont="1" applyAlignment="1">
      <alignment/>
    </xf>
    <xf numFmtId="6" fontId="8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5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6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5" fontId="8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0" fontId="10" fillId="0" borderId="0" xfId="0" applyFont="1" applyAlignment="1">
      <alignment/>
    </xf>
    <xf numFmtId="9" fontId="6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6" fontId="7" fillId="0" borderId="0" xfId="0" applyNumberFormat="1" applyFont="1" applyAlignment="1">
      <alignment/>
    </xf>
    <xf numFmtId="6" fontId="11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0" fontId="11" fillId="0" borderId="0" xfId="0" applyFont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5" fontId="7" fillId="0" borderId="0" xfId="0" applyNumberFormat="1" applyFont="1" applyAlignment="1">
      <alignment horizontal="center"/>
    </xf>
    <xf numFmtId="5" fontId="9" fillId="0" borderId="0" xfId="0" applyNumberFormat="1" applyFont="1" applyAlignment="1">
      <alignment/>
    </xf>
    <xf numFmtId="6" fontId="9" fillId="0" borderId="0" xfId="0" applyNumberFormat="1" applyFont="1" applyAlignment="1">
      <alignment/>
    </xf>
    <xf numFmtId="6" fontId="10" fillId="0" borderId="0" xfId="0" applyNumberFormat="1" applyFont="1" applyAlignment="1">
      <alignment/>
    </xf>
    <xf numFmtId="9" fontId="9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6" fontId="5" fillId="0" borderId="0" xfId="16" applyNumberFormat="1" applyFont="1" applyAlignment="1">
      <alignment horizontal="center"/>
    </xf>
    <xf numFmtId="6" fontId="4" fillId="0" borderId="0" xfId="16" applyNumberFormat="1" applyFont="1" applyAlignment="1">
      <alignment/>
    </xf>
    <xf numFmtId="6" fontId="5" fillId="0" borderId="0" xfId="16" applyNumberFormat="1" applyFont="1" applyAlignment="1">
      <alignment/>
    </xf>
    <xf numFmtId="6" fontId="8" fillId="0" borderId="0" xfId="16" applyNumberFormat="1" applyFont="1" applyAlignment="1">
      <alignment/>
    </xf>
    <xf numFmtId="9" fontId="5" fillId="0" borderId="0" xfId="17" applyFont="1" applyAlignment="1">
      <alignment/>
    </xf>
    <xf numFmtId="6" fontId="6" fillId="0" borderId="0" xfId="16" applyNumberFormat="1" applyFont="1" applyAlignment="1">
      <alignment/>
    </xf>
    <xf numFmtId="0" fontId="5" fillId="0" borderId="0" xfId="0" applyFont="1" applyAlignment="1">
      <alignment/>
    </xf>
    <xf numFmtId="5" fontId="5" fillId="0" borderId="0" xfId="0" applyNumberFormat="1" applyFont="1" applyAlignment="1">
      <alignment/>
    </xf>
    <xf numFmtId="6" fontId="5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0" fontId="7" fillId="0" borderId="0" xfId="0" applyFont="1" applyAlignment="1">
      <alignment/>
    </xf>
    <xf numFmtId="9" fontId="5" fillId="0" borderId="0" xfId="17" applyFont="1" applyAlignment="1">
      <alignment horizontal="center"/>
    </xf>
    <xf numFmtId="9" fontId="4" fillId="0" borderId="0" xfId="17" applyFont="1" applyAlignment="1">
      <alignment/>
    </xf>
    <xf numFmtId="14" fontId="6" fillId="0" borderId="0" xfId="16" applyNumberFormat="1" applyFont="1" applyAlignment="1">
      <alignment horizontal="center"/>
    </xf>
    <xf numFmtId="13" fontId="4" fillId="0" borderId="0" xfId="16" applyNumberFormat="1" applyFont="1" applyAlignment="1">
      <alignment/>
    </xf>
    <xf numFmtId="14" fontId="5" fillId="0" borderId="0" xfId="17" applyNumberFormat="1" applyFont="1" applyAlignment="1" quotePrefix="1">
      <alignment horizontal="center"/>
    </xf>
    <xf numFmtId="6" fontId="5" fillId="0" borderId="0" xfId="16" applyNumberFormat="1" applyFont="1" applyAlignment="1">
      <alignment horizontal="right"/>
    </xf>
    <xf numFmtId="9" fontId="7" fillId="0" borderId="0" xfId="17" applyFont="1" applyAlignment="1">
      <alignment/>
    </xf>
    <xf numFmtId="9" fontId="8" fillId="0" borderId="0" xfId="17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1"/>
  <sheetViews>
    <sheetView tabSelected="1" workbookViewId="0" topLeftCell="A1">
      <selection activeCell="AA31" sqref="AA31"/>
    </sheetView>
  </sheetViews>
  <sheetFormatPr defaultColWidth="9.140625" defaultRowHeight="12.75"/>
  <cols>
    <col min="1" max="1" width="22.7109375" style="17" customWidth="1"/>
    <col min="2" max="2" width="12.7109375" style="36" hidden="1" customWidth="1"/>
    <col min="3" max="4" width="0" style="36" hidden="1" customWidth="1"/>
    <col min="5" max="5" width="0" style="37" hidden="1" customWidth="1"/>
    <col min="6" max="6" width="0" style="38" hidden="1" customWidth="1"/>
    <col min="7" max="8" width="0" style="36" hidden="1" customWidth="1"/>
    <col min="9" max="9" width="0" style="37" hidden="1" customWidth="1"/>
    <col min="10" max="10" width="0" style="39" hidden="1" customWidth="1"/>
    <col min="11" max="11" width="0" style="36" hidden="1" customWidth="1"/>
    <col min="12" max="12" width="0" style="15" hidden="1" customWidth="1"/>
    <col min="13" max="14" width="0" style="16" hidden="1" customWidth="1"/>
    <col min="15" max="15" width="0" style="42" hidden="1" customWidth="1"/>
    <col min="16" max="16" width="0" style="54" hidden="1" customWidth="1"/>
    <col min="17" max="17" width="0" style="42" hidden="1" customWidth="1"/>
    <col min="18" max="18" width="0" style="18" hidden="1" customWidth="1"/>
    <col min="19" max="19" width="7.140625" style="54" hidden="1" customWidth="1"/>
    <col min="20" max="20" width="8.57421875" style="54" customWidth="1"/>
    <col min="21" max="21" width="6.8515625" style="42" customWidth="1"/>
    <col min="22" max="22" width="0" style="17" hidden="1" customWidth="1"/>
    <col min="23" max="23" width="9.140625" style="18" customWidth="1"/>
    <col min="24" max="24" width="8.7109375" style="21" customWidth="1"/>
    <col min="25" max="25" width="0" style="54" hidden="1" customWidth="1"/>
    <col min="26" max="26" width="5.140625" style="17" customWidth="1"/>
    <col min="27" max="27" width="9.140625" style="42" customWidth="1"/>
    <col min="28" max="16384" width="9.140625" style="17" customWidth="1"/>
  </cols>
  <sheetData>
    <row r="1" spans="1:27" s="10" customFormat="1" ht="12.75">
      <c r="A1" s="3"/>
      <c r="B1" s="4">
        <v>1994</v>
      </c>
      <c r="C1" s="4">
        <v>1994</v>
      </c>
      <c r="D1" s="4">
        <v>1995</v>
      </c>
      <c r="E1" s="4">
        <v>1995</v>
      </c>
      <c r="F1" s="5" t="s">
        <v>0</v>
      </c>
      <c r="G1" s="4">
        <v>1996</v>
      </c>
      <c r="H1" s="7" t="s">
        <v>1</v>
      </c>
      <c r="I1" s="8" t="s">
        <v>1</v>
      </c>
      <c r="J1" s="6" t="s">
        <v>2</v>
      </c>
      <c r="K1" s="9" t="s">
        <v>3</v>
      </c>
      <c r="L1" s="9" t="s">
        <v>3</v>
      </c>
      <c r="M1" s="6" t="s">
        <v>2</v>
      </c>
      <c r="N1" s="6" t="s">
        <v>4</v>
      </c>
      <c r="O1" s="41" t="s">
        <v>4</v>
      </c>
      <c r="P1" s="53" t="s">
        <v>2</v>
      </c>
      <c r="Q1" s="41" t="s">
        <v>49</v>
      </c>
      <c r="R1" s="3" t="s">
        <v>49</v>
      </c>
      <c r="S1" s="53" t="s">
        <v>50</v>
      </c>
      <c r="T1" s="53" t="s">
        <v>55</v>
      </c>
      <c r="U1" s="41" t="s">
        <v>55</v>
      </c>
      <c r="W1" s="3" t="s">
        <v>60</v>
      </c>
      <c r="X1" s="61" t="s">
        <v>60</v>
      </c>
      <c r="Y1" s="53"/>
      <c r="AA1" s="41" t="s">
        <v>61</v>
      </c>
    </row>
    <row r="2" spans="1:27" s="10" customFormat="1" ht="12.75">
      <c r="A2" s="3"/>
      <c r="B2" s="9" t="s">
        <v>5</v>
      </c>
      <c r="C2" s="9" t="s">
        <v>6</v>
      </c>
      <c r="D2" s="9" t="s">
        <v>5</v>
      </c>
      <c r="E2" s="8" t="s">
        <v>6</v>
      </c>
      <c r="F2" s="11" t="s">
        <v>5</v>
      </c>
      <c r="G2" s="9" t="s">
        <v>6</v>
      </c>
      <c r="H2" s="9" t="s">
        <v>6</v>
      </c>
      <c r="I2" s="8" t="s">
        <v>5</v>
      </c>
      <c r="J2" s="6" t="s">
        <v>5</v>
      </c>
      <c r="K2" s="40" t="s">
        <v>6</v>
      </c>
      <c r="L2" s="9" t="s">
        <v>5</v>
      </c>
      <c r="M2" s="6" t="s">
        <v>5</v>
      </c>
      <c r="N2" s="6" t="s">
        <v>6</v>
      </c>
      <c r="O2" s="41" t="s">
        <v>5</v>
      </c>
      <c r="P2" s="53" t="s">
        <v>5</v>
      </c>
      <c r="Q2" s="41" t="s">
        <v>6</v>
      </c>
      <c r="R2" s="3" t="s">
        <v>5</v>
      </c>
      <c r="S2" s="53" t="s">
        <v>5</v>
      </c>
      <c r="T2" s="53" t="s">
        <v>6</v>
      </c>
      <c r="U2" s="41" t="s">
        <v>5</v>
      </c>
      <c r="W2" s="3" t="s">
        <v>6</v>
      </c>
      <c r="X2" s="61" t="s">
        <v>5</v>
      </c>
      <c r="Y2" s="53"/>
      <c r="AA2" s="41" t="s">
        <v>5</v>
      </c>
    </row>
    <row r="3" spans="1:27" ht="12.75">
      <c r="A3" s="2" t="s">
        <v>57</v>
      </c>
      <c r="B3" s="1"/>
      <c r="C3" s="1"/>
      <c r="D3" s="1"/>
      <c r="E3" s="12"/>
      <c r="F3" s="13"/>
      <c r="G3" s="1"/>
      <c r="H3" s="1"/>
      <c r="I3" s="12"/>
      <c r="J3" s="14"/>
      <c r="K3" s="1"/>
      <c r="N3" s="40"/>
      <c r="Q3" s="55">
        <v>36891</v>
      </c>
      <c r="T3" s="57">
        <v>37256</v>
      </c>
      <c r="U3" s="41"/>
      <c r="W3" s="40">
        <v>37621</v>
      </c>
      <c r="AA3" s="43" t="s">
        <v>63</v>
      </c>
    </row>
    <row r="4" spans="1:17" ht="1.5" customHeight="1">
      <c r="A4" s="18"/>
      <c r="B4" s="1"/>
      <c r="C4" s="1"/>
      <c r="D4" s="1"/>
      <c r="E4" s="12"/>
      <c r="F4" s="13"/>
      <c r="G4" s="1"/>
      <c r="H4" s="1"/>
      <c r="I4" s="12"/>
      <c r="J4" s="14"/>
      <c r="K4" s="1"/>
      <c r="Q4" s="56">
        <v>0.3870967741935484</v>
      </c>
    </row>
    <row r="5" spans="1:27" s="20" customFormat="1" ht="12.75">
      <c r="A5" s="2" t="s">
        <v>7</v>
      </c>
      <c r="B5" s="15">
        <v>33750</v>
      </c>
      <c r="C5" s="15">
        <v>27637</v>
      </c>
      <c r="D5" s="15">
        <f>1100*25</f>
        <v>27500</v>
      </c>
      <c r="E5" s="19">
        <f>1364.47+2694.31+1350.48+1323.56+1576.45+2067.29+2240.41+2745.44+1469.73+1799.47+1332.1+1677.09</f>
        <v>21640.800000000003</v>
      </c>
      <c r="F5" s="19">
        <f>780*30</f>
        <v>23400</v>
      </c>
      <c r="G5" s="15">
        <f>1510.69+2283.34+1515+2396.88+1316.84+2643.69+2193.58+1905.17+1115.35+1716.32+1802.34+1254</f>
        <v>21653.2</v>
      </c>
      <c r="H5" s="15">
        <v>19672.31</v>
      </c>
      <c r="I5" s="19">
        <f>680*30+20*10</f>
        <v>20600</v>
      </c>
      <c r="J5" s="16">
        <f>H5/I5</f>
        <v>0.954966504854369</v>
      </c>
      <c r="K5" s="15">
        <v>17532.84</v>
      </c>
      <c r="L5" s="15">
        <f>600*30+40*10</f>
        <v>18400</v>
      </c>
      <c r="M5" s="16">
        <f>K5/L5</f>
        <v>0.9528717391304348</v>
      </c>
      <c r="N5" s="43">
        <f>12689.67+1077.74</f>
        <v>13767.41</v>
      </c>
      <c r="O5" s="43">
        <v>15500</v>
      </c>
      <c r="P5" s="45">
        <f>N5/O5</f>
        <v>0.88822</v>
      </c>
      <c r="Q5" s="43">
        <v>13167.98</v>
      </c>
      <c r="R5" s="43">
        <v>15000</v>
      </c>
      <c r="S5" s="45">
        <f>Q5/R5</f>
        <v>0.8778653333333333</v>
      </c>
      <c r="T5" s="58">
        <v>11590.85</v>
      </c>
      <c r="U5" s="43">
        <v>12000</v>
      </c>
      <c r="V5" s="45">
        <f>T5/U5</f>
        <v>0.9659041666666667</v>
      </c>
      <c r="W5" s="43">
        <f>8337.44+722.5+932.5+450</f>
        <v>10442.44</v>
      </c>
      <c r="X5" s="46">
        <v>11500</v>
      </c>
      <c r="Y5" s="45">
        <f>W5/X5</f>
        <v>0.9080382608695653</v>
      </c>
      <c r="AA5" s="43">
        <f>325*30</f>
        <v>9750</v>
      </c>
    </row>
    <row r="6" spans="1:27" s="20" customFormat="1" ht="12.75">
      <c r="A6" s="2" t="s">
        <v>8</v>
      </c>
      <c r="B6" s="15">
        <v>2700</v>
      </c>
      <c r="C6" s="15">
        <v>1970</v>
      </c>
      <c r="D6" s="15">
        <v>1400</v>
      </c>
      <c r="E6" s="19">
        <f>96+168+84+76+108+140+168+204+116+132+104+106</f>
        <v>1502</v>
      </c>
      <c r="F6" s="19">
        <f>750*2</f>
        <v>1500</v>
      </c>
      <c r="G6" s="15">
        <f>88+106+96+140+76+152+132+124+62+102+102+76</f>
        <v>1256</v>
      </c>
      <c r="H6" s="15">
        <v>1096</v>
      </c>
      <c r="I6" s="19">
        <v>1000</v>
      </c>
      <c r="J6" s="16">
        <f>H6/I6</f>
        <v>1.096</v>
      </c>
      <c r="K6" s="15">
        <v>792</v>
      </c>
      <c r="L6" s="15">
        <v>800</v>
      </c>
      <c r="M6" s="16">
        <f>K6/L6</f>
        <v>0.99</v>
      </c>
      <c r="N6" s="43">
        <f>940+52</f>
        <v>992</v>
      </c>
      <c r="O6" s="43">
        <v>600</v>
      </c>
      <c r="P6" s="45">
        <f aca="true" t="shared" si="0" ref="P6:P20">N6/O6</f>
        <v>1.6533333333333333</v>
      </c>
      <c r="Q6" s="43">
        <v>732</v>
      </c>
      <c r="R6" s="43">
        <v>600</v>
      </c>
      <c r="S6" s="45">
        <f aca="true" t="shared" si="1" ref="S6:S58">Q6/R6</f>
        <v>1.22</v>
      </c>
      <c r="T6" s="43">
        <v>602</v>
      </c>
      <c r="U6" s="43">
        <v>500</v>
      </c>
      <c r="V6" s="45">
        <f aca="true" t="shared" si="2" ref="V6:V58">T6/U6</f>
        <v>1.204</v>
      </c>
      <c r="W6" s="43">
        <f>418+38+36+14</f>
        <v>506</v>
      </c>
      <c r="X6" s="46">
        <v>600</v>
      </c>
      <c r="Y6" s="45">
        <f>W6/X6</f>
        <v>0.8433333333333334</v>
      </c>
      <c r="AA6" s="43">
        <v>500</v>
      </c>
    </row>
    <row r="7" spans="1:27" s="20" customFormat="1" ht="12.75" hidden="1">
      <c r="A7" s="2" t="s">
        <v>9</v>
      </c>
      <c r="B7" s="15">
        <v>450</v>
      </c>
      <c r="C7" s="15">
        <v>527</v>
      </c>
      <c r="D7" s="15">
        <v>125</v>
      </c>
      <c r="E7" s="19">
        <f>17.17+15.92</f>
        <v>33.09</v>
      </c>
      <c r="F7" s="19">
        <v>0</v>
      </c>
      <c r="G7" s="15">
        <v>0</v>
      </c>
      <c r="H7" s="15">
        <v>0</v>
      </c>
      <c r="I7" s="19">
        <v>0</v>
      </c>
      <c r="J7" s="16"/>
      <c r="K7" s="15">
        <v>0</v>
      </c>
      <c r="L7" s="15">
        <v>0</v>
      </c>
      <c r="M7" s="16" t="e">
        <f>K7/L7</f>
        <v>#DIV/0!</v>
      </c>
      <c r="N7" s="43"/>
      <c r="O7" s="43"/>
      <c r="P7" s="45" t="e">
        <f t="shared" si="0"/>
        <v>#DIV/0!</v>
      </c>
      <c r="Q7" s="43"/>
      <c r="R7" s="43"/>
      <c r="S7" s="45" t="e">
        <f t="shared" si="1"/>
        <v>#DIV/0!</v>
      </c>
      <c r="T7" s="43"/>
      <c r="U7" s="43"/>
      <c r="V7" s="45" t="e">
        <f t="shared" si="2"/>
        <v>#DIV/0!</v>
      </c>
      <c r="W7" s="43"/>
      <c r="X7" s="46"/>
      <c r="Y7" s="45" t="e">
        <f aca="true" t="shared" si="3" ref="Y7:Y13">W7/X7</f>
        <v>#DIV/0!</v>
      </c>
      <c r="AA7" s="43"/>
    </row>
    <row r="8" spans="1:27" s="20" customFormat="1" ht="12.75" hidden="1">
      <c r="A8" s="2" t="s">
        <v>10</v>
      </c>
      <c r="B8" s="15">
        <v>1500</v>
      </c>
      <c r="C8" s="15">
        <v>575</v>
      </c>
      <c r="D8" s="15">
        <v>2500</v>
      </c>
      <c r="E8" s="19">
        <v>0</v>
      </c>
      <c r="F8" s="19">
        <v>0</v>
      </c>
      <c r="G8" s="15">
        <v>30</v>
      </c>
      <c r="H8" s="15">
        <v>0</v>
      </c>
      <c r="I8" s="19">
        <v>30</v>
      </c>
      <c r="J8" s="16">
        <f>H8/I8</f>
        <v>0</v>
      </c>
      <c r="K8" s="15">
        <v>0</v>
      </c>
      <c r="L8" s="15">
        <v>0</v>
      </c>
      <c r="M8" s="16" t="e">
        <f>K8/L8</f>
        <v>#DIV/0!</v>
      </c>
      <c r="N8" s="43"/>
      <c r="O8" s="43"/>
      <c r="P8" s="45" t="e">
        <f t="shared" si="0"/>
        <v>#DIV/0!</v>
      </c>
      <c r="Q8" s="43"/>
      <c r="R8" s="43"/>
      <c r="S8" s="45" t="e">
        <f t="shared" si="1"/>
        <v>#DIV/0!</v>
      </c>
      <c r="T8" s="43"/>
      <c r="U8" s="43"/>
      <c r="V8" s="45" t="e">
        <f t="shared" si="2"/>
        <v>#DIV/0!</v>
      </c>
      <c r="W8" s="43"/>
      <c r="X8" s="46"/>
      <c r="Y8" s="45" t="e">
        <f t="shared" si="3"/>
        <v>#DIV/0!</v>
      </c>
      <c r="AA8" s="43"/>
    </row>
    <row r="9" spans="1:27" s="20" customFormat="1" ht="12.75">
      <c r="A9" s="2" t="s">
        <v>11</v>
      </c>
      <c r="B9" s="15"/>
      <c r="C9" s="15"/>
      <c r="D9" s="15"/>
      <c r="E9" s="19"/>
      <c r="F9" s="19"/>
      <c r="G9" s="15">
        <v>1082</v>
      </c>
      <c r="H9" s="15"/>
      <c r="I9" s="19"/>
      <c r="J9" s="16"/>
      <c r="K9" s="15">
        <v>0</v>
      </c>
      <c r="L9" s="15">
        <v>1500</v>
      </c>
      <c r="M9" s="16">
        <f>K9/L9</f>
        <v>0</v>
      </c>
      <c r="N9" s="43">
        <v>0</v>
      </c>
      <c r="O9" s="43">
        <v>0</v>
      </c>
      <c r="P9" s="45"/>
      <c r="Q9" s="43">
        <v>2051.89</v>
      </c>
      <c r="R9" s="43">
        <v>2900</v>
      </c>
      <c r="S9" s="45">
        <f t="shared" si="1"/>
        <v>0.7075482758620689</v>
      </c>
      <c r="T9" s="43">
        <v>0</v>
      </c>
      <c r="U9" s="43">
        <v>0</v>
      </c>
      <c r="V9" s="45"/>
      <c r="W9" s="43"/>
      <c r="X9" s="46"/>
      <c r="Y9" s="45"/>
      <c r="AA9" s="43"/>
    </row>
    <row r="10" spans="1:27" s="20" customFormat="1" ht="12.75">
      <c r="A10" s="2" t="s">
        <v>53</v>
      </c>
      <c r="B10" s="15"/>
      <c r="C10" s="15"/>
      <c r="D10" s="15"/>
      <c r="E10" s="19"/>
      <c r="F10" s="19"/>
      <c r="G10" s="15"/>
      <c r="H10" s="15"/>
      <c r="I10" s="19"/>
      <c r="J10" s="16"/>
      <c r="K10" s="15"/>
      <c r="L10" s="15"/>
      <c r="M10" s="16"/>
      <c r="N10" s="43">
        <f>779</f>
        <v>779</v>
      </c>
      <c r="O10" s="43"/>
      <c r="P10" s="45"/>
      <c r="Q10" s="43">
        <f>110.65+922.83</f>
        <v>1033.48</v>
      </c>
      <c r="R10" s="43">
        <v>800</v>
      </c>
      <c r="S10" s="45">
        <f t="shared" si="1"/>
        <v>1.29185</v>
      </c>
      <c r="T10" s="43">
        <f>1028.64+795.46+59.12</f>
        <v>1883.22</v>
      </c>
      <c r="U10" s="43">
        <v>1600</v>
      </c>
      <c r="V10" s="45">
        <f t="shared" si="2"/>
        <v>1.1770125</v>
      </c>
      <c r="W10" s="43">
        <v>566.69</v>
      </c>
      <c r="X10" s="46">
        <f>60*12</f>
        <v>720</v>
      </c>
      <c r="Y10" s="45">
        <f t="shared" si="3"/>
        <v>0.7870694444444445</v>
      </c>
      <c r="AA10" s="43">
        <v>450</v>
      </c>
    </row>
    <row r="11" spans="1:27" s="20" customFormat="1" ht="12.75">
      <c r="A11" s="2" t="s">
        <v>12</v>
      </c>
      <c r="B11" s="15"/>
      <c r="C11" s="15"/>
      <c r="D11" s="15"/>
      <c r="E11" s="19"/>
      <c r="F11" s="19"/>
      <c r="G11" s="15"/>
      <c r="H11" s="15">
        <v>225</v>
      </c>
      <c r="I11" s="19"/>
      <c r="J11" s="16"/>
      <c r="K11" s="15">
        <v>0</v>
      </c>
      <c r="L11" s="15">
        <v>0</v>
      </c>
      <c r="M11" s="16">
        <v>0</v>
      </c>
      <c r="N11" s="43">
        <v>250</v>
      </c>
      <c r="O11" s="43">
        <v>0</v>
      </c>
      <c r="P11" s="45"/>
      <c r="Q11" s="43">
        <v>0</v>
      </c>
      <c r="R11" s="43">
        <v>0</v>
      </c>
      <c r="S11" s="45" t="e">
        <f t="shared" si="1"/>
        <v>#DIV/0!</v>
      </c>
      <c r="T11" s="43">
        <v>0</v>
      </c>
      <c r="U11" s="43">
        <v>0</v>
      </c>
      <c r="V11" s="45"/>
      <c r="W11" s="43"/>
      <c r="X11" s="46"/>
      <c r="Y11" s="45"/>
      <c r="AA11" s="43"/>
    </row>
    <row r="12" spans="1:25" ht="1.5" customHeight="1">
      <c r="A12" s="18"/>
      <c r="B12" s="1"/>
      <c r="C12" s="1"/>
      <c r="D12" s="1"/>
      <c r="E12" s="12"/>
      <c r="F12" s="13"/>
      <c r="G12" s="1"/>
      <c r="H12" s="1"/>
      <c r="I12" s="12"/>
      <c r="J12" s="16"/>
      <c r="K12" s="15"/>
      <c r="N12" s="43"/>
      <c r="P12" s="45"/>
      <c r="Q12" s="43"/>
      <c r="R12" s="42"/>
      <c r="S12" s="45" t="e">
        <f t="shared" si="1"/>
        <v>#DIV/0!</v>
      </c>
      <c r="T12" s="43"/>
      <c r="V12" s="59" t="e">
        <f t="shared" si="2"/>
        <v>#DIV/0!</v>
      </c>
      <c r="W12" s="42"/>
      <c r="X12" s="44"/>
      <c r="Y12" s="45" t="e">
        <f t="shared" si="3"/>
        <v>#DIV/0!</v>
      </c>
    </row>
    <row r="13" spans="1:27" s="20" customFormat="1" ht="12.75">
      <c r="A13" s="2" t="s">
        <v>13</v>
      </c>
      <c r="B13" s="15">
        <f aca="true" t="shared" si="4" ref="B13:I13">SUM(B5:B11)</f>
        <v>38400</v>
      </c>
      <c r="C13" s="15">
        <f t="shared" si="4"/>
        <v>30709</v>
      </c>
      <c r="D13" s="15">
        <f t="shared" si="4"/>
        <v>31525</v>
      </c>
      <c r="E13" s="15">
        <f t="shared" si="4"/>
        <v>23175.890000000003</v>
      </c>
      <c r="F13" s="15">
        <f t="shared" si="4"/>
        <v>24900</v>
      </c>
      <c r="G13" s="15">
        <f t="shared" si="4"/>
        <v>24021.2</v>
      </c>
      <c r="H13" s="15">
        <f t="shared" si="4"/>
        <v>20993.31</v>
      </c>
      <c r="I13" s="15">
        <f t="shared" si="4"/>
        <v>21630</v>
      </c>
      <c r="J13" s="16">
        <f>H13/I13</f>
        <v>0.9705644937586686</v>
      </c>
      <c r="K13" s="15">
        <f>SUM(K5:K11)</f>
        <v>18324.84</v>
      </c>
      <c r="L13" s="15">
        <f>SUM(L5:L11)</f>
        <v>20700</v>
      </c>
      <c r="M13" s="16">
        <f>K13/L13</f>
        <v>0.8852579710144928</v>
      </c>
      <c r="N13" s="43">
        <f>SUM(N5:N11)</f>
        <v>15788.41</v>
      </c>
      <c r="O13" s="43">
        <f>SUM(O5:O11)</f>
        <v>16100</v>
      </c>
      <c r="P13" s="45">
        <f t="shared" si="0"/>
        <v>0.9806465838509316</v>
      </c>
      <c r="Q13" s="43">
        <f>SUM(Q5:Q11)</f>
        <v>16985.35</v>
      </c>
      <c r="R13" s="43">
        <f>SUM(R5:R11)</f>
        <v>19300</v>
      </c>
      <c r="S13" s="45">
        <f t="shared" si="1"/>
        <v>0.8800699481865284</v>
      </c>
      <c r="T13" s="43">
        <f>SUM(T5:T11)</f>
        <v>14076.07</v>
      </c>
      <c r="U13" s="43">
        <f>SUM(U5:U12)</f>
        <v>14100</v>
      </c>
      <c r="V13" s="45">
        <f t="shared" si="2"/>
        <v>0.9983028368794326</v>
      </c>
      <c r="W13" s="43">
        <f>SUM(W5:W11)</f>
        <v>11515.130000000001</v>
      </c>
      <c r="X13" s="46">
        <f>SUM(X5:X12)</f>
        <v>12820</v>
      </c>
      <c r="Y13" s="45">
        <f t="shared" si="3"/>
        <v>0.8982160686427458</v>
      </c>
      <c r="AA13" s="43">
        <f>SUM(AA5:AA11)</f>
        <v>10700</v>
      </c>
    </row>
    <row r="14" spans="1:24" ht="1.5" customHeight="1">
      <c r="A14" s="18"/>
      <c r="B14" s="1"/>
      <c r="C14" s="1"/>
      <c r="D14" s="1"/>
      <c r="E14" s="12"/>
      <c r="F14" s="13"/>
      <c r="G14" s="1"/>
      <c r="H14" s="1"/>
      <c r="I14" s="12"/>
      <c r="J14" s="14"/>
      <c r="K14" s="1"/>
      <c r="N14" s="43"/>
      <c r="P14" s="45"/>
      <c r="Q14" s="43"/>
      <c r="R14" s="42"/>
      <c r="S14" s="45"/>
      <c r="T14" s="43"/>
      <c r="V14" s="45" t="e">
        <f t="shared" si="2"/>
        <v>#DIV/0!</v>
      </c>
      <c r="W14" s="42"/>
      <c r="X14" s="44"/>
    </row>
    <row r="15" spans="1:24" ht="12.75">
      <c r="A15" s="2" t="s">
        <v>58</v>
      </c>
      <c r="B15" s="1"/>
      <c r="C15" s="1"/>
      <c r="D15" s="1"/>
      <c r="E15" s="12"/>
      <c r="F15" s="13"/>
      <c r="G15" s="1"/>
      <c r="H15" s="1"/>
      <c r="I15" s="12"/>
      <c r="J15" s="14"/>
      <c r="K15" s="1"/>
      <c r="N15" s="43"/>
      <c r="P15" s="45"/>
      <c r="Q15" s="43"/>
      <c r="R15" s="42"/>
      <c r="S15" s="45"/>
      <c r="T15" s="43"/>
      <c r="V15" s="45"/>
      <c r="W15" s="42"/>
      <c r="X15" s="44"/>
    </row>
    <row r="16" spans="1:24" ht="1.5" customHeight="1">
      <c r="A16" s="18"/>
      <c r="B16" s="1"/>
      <c r="C16" s="1"/>
      <c r="D16" s="1"/>
      <c r="E16" s="12"/>
      <c r="F16" s="13"/>
      <c r="G16" s="1"/>
      <c r="H16" s="1"/>
      <c r="I16" s="12"/>
      <c r="J16" s="14"/>
      <c r="K16" s="1"/>
      <c r="N16" s="43"/>
      <c r="P16" s="45"/>
      <c r="Q16" s="43"/>
      <c r="R16" s="42"/>
      <c r="S16" s="45"/>
      <c r="T16" s="43"/>
      <c r="V16" s="45" t="e">
        <f t="shared" si="2"/>
        <v>#DIV/0!</v>
      </c>
      <c r="W16" s="42"/>
      <c r="X16" s="44"/>
    </row>
    <row r="17" spans="1:26" ht="12.75">
      <c r="A17" s="2" t="s">
        <v>14</v>
      </c>
      <c r="B17" s="1"/>
      <c r="C17" s="1"/>
      <c r="D17" s="1"/>
      <c r="E17" s="12"/>
      <c r="F17" s="13"/>
      <c r="G17" s="1"/>
      <c r="H17" s="1"/>
      <c r="I17" s="12"/>
      <c r="J17" s="14"/>
      <c r="K17" s="1"/>
      <c r="N17" s="43"/>
      <c r="P17" s="45"/>
      <c r="Q17" s="43"/>
      <c r="R17" s="42"/>
      <c r="S17" s="45"/>
      <c r="T17" s="43"/>
      <c r="V17" s="45"/>
      <c r="W17" s="42"/>
      <c r="Z17" s="42"/>
    </row>
    <row r="18" spans="1:27" s="24" customFormat="1" ht="12.75">
      <c r="A18" s="21" t="s">
        <v>15</v>
      </c>
      <c r="B18" s="22">
        <v>870</v>
      </c>
      <c r="C18" s="22">
        <v>324</v>
      </c>
      <c r="D18" s="22">
        <v>350</v>
      </c>
      <c r="E18" s="13">
        <f>249.1</f>
        <v>249.1</v>
      </c>
      <c r="F18" s="13">
        <v>300</v>
      </c>
      <c r="G18" s="22">
        <f>250</f>
        <v>250</v>
      </c>
      <c r="H18" s="22">
        <v>89.04</v>
      </c>
      <c r="I18" s="13">
        <v>250</v>
      </c>
      <c r="J18" s="23">
        <f>H18/I18</f>
        <v>0.35616000000000003</v>
      </c>
      <c r="K18" s="22">
        <v>0</v>
      </c>
      <c r="L18" s="22">
        <v>150</v>
      </c>
      <c r="M18" s="23">
        <f>K18/L18</f>
        <v>0</v>
      </c>
      <c r="N18" s="44">
        <v>0</v>
      </c>
      <c r="O18" s="44">
        <v>275</v>
      </c>
      <c r="P18" s="45">
        <f t="shared" si="0"/>
        <v>0</v>
      </c>
      <c r="Q18" s="44">
        <v>84.3</v>
      </c>
      <c r="R18" s="44">
        <v>100</v>
      </c>
      <c r="S18" s="45">
        <f t="shared" si="1"/>
        <v>0.843</v>
      </c>
      <c r="T18" s="43"/>
      <c r="U18" s="44">
        <v>100</v>
      </c>
      <c r="V18" s="45">
        <f t="shared" si="2"/>
        <v>0</v>
      </c>
      <c r="W18" s="44"/>
      <c r="X18" s="44">
        <v>100</v>
      </c>
      <c r="Y18" s="60"/>
      <c r="AA18" s="44">
        <v>100</v>
      </c>
    </row>
    <row r="19" spans="1:27" s="24" customFormat="1" ht="12.75">
      <c r="A19" s="21" t="s">
        <v>16</v>
      </c>
      <c r="B19" s="22">
        <v>500</v>
      </c>
      <c r="C19" s="22">
        <v>526</v>
      </c>
      <c r="D19" s="22">
        <f>764.79+300</f>
        <v>1064.79</v>
      </c>
      <c r="E19" s="13">
        <f>764.79</f>
        <v>764.79</v>
      </c>
      <c r="F19" s="13">
        <v>350</v>
      </c>
      <c r="G19" s="22">
        <v>310.52</v>
      </c>
      <c r="H19" s="22">
        <v>368.52</v>
      </c>
      <c r="I19" s="13">
        <v>325</v>
      </c>
      <c r="J19" s="23">
        <f>H19/I19</f>
        <v>1.1339076923076923</v>
      </c>
      <c r="K19" s="22">
        <v>651</v>
      </c>
      <c r="L19" s="22">
        <v>651</v>
      </c>
      <c r="M19" s="23">
        <f>K19/L19</f>
        <v>1</v>
      </c>
      <c r="N19" s="44">
        <v>692</v>
      </c>
      <c r="O19" s="44">
        <v>692</v>
      </c>
      <c r="P19" s="45">
        <f t="shared" si="0"/>
        <v>1</v>
      </c>
      <c r="Q19" s="44">
        <v>600</v>
      </c>
      <c r="R19" s="44">
        <v>600</v>
      </c>
      <c r="S19" s="45">
        <f t="shared" si="1"/>
        <v>1</v>
      </c>
      <c r="T19" s="43"/>
      <c r="U19" s="44">
        <v>0</v>
      </c>
      <c r="V19" s="45"/>
      <c r="W19" s="44"/>
      <c r="X19" s="44"/>
      <c r="Y19" s="60"/>
      <c r="AA19" s="44"/>
    </row>
    <row r="20" spans="1:27" s="20" customFormat="1" ht="12.75">
      <c r="A20" s="2" t="s">
        <v>17</v>
      </c>
      <c r="B20" s="15">
        <f aca="true" t="shared" si="5" ref="B20:H20">SUM(B18:B19)</f>
        <v>1370</v>
      </c>
      <c r="C20" s="15">
        <f t="shared" si="5"/>
        <v>850</v>
      </c>
      <c r="D20" s="15">
        <f t="shared" si="5"/>
        <v>1414.79</v>
      </c>
      <c r="E20" s="15">
        <f t="shared" si="5"/>
        <v>1013.89</v>
      </c>
      <c r="F20" s="15">
        <f t="shared" si="5"/>
        <v>650</v>
      </c>
      <c r="G20" s="15">
        <f t="shared" si="5"/>
        <v>560.52</v>
      </c>
      <c r="H20" s="15">
        <f t="shared" si="5"/>
        <v>457.56</v>
      </c>
      <c r="I20" s="19">
        <f>I18+I19</f>
        <v>575</v>
      </c>
      <c r="J20" s="25">
        <f>H20/I20</f>
        <v>0.7957565217391305</v>
      </c>
      <c r="K20" s="26">
        <f>K18+K19</f>
        <v>651</v>
      </c>
      <c r="L20" s="15">
        <f>L18+L19</f>
        <v>801</v>
      </c>
      <c r="M20" s="16">
        <f>K20/L20</f>
        <v>0.8127340823970037</v>
      </c>
      <c r="N20" s="43">
        <f>N18+N19</f>
        <v>692</v>
      </c>
      <c r="O20" s="43">
        <f>O18+O19</f>
        <v>967</v>
      </c>
      <c r="P20" s="45">
        <f t="shared" si="0"/>
        <v>0.7156153050672182</v>
      </c>
      <c r="Q20" s="43">
        <f>Q18+Q19</f>
        <v>684.3</v>
      </c>
      <c r="R20" s="43">
        <f>R18+R19</f>
        <v>700</v>
      </c>
      <c r="S20" s="45">
        <f t="shared" si="1"/>
        <v>0.9775714285714285</v>
      </c>
      <c r="T20" s="43"/>
      <c r="U20" s="43">
        <f>SUM(U18:U19)</f>
        <v>100</v>
      </c>
      <c r="V20" s="45">
        <f t="shared" si="2"/>
        <v>0</v>
      </c>
      <c r="W20" s="43"/>
      <c r="X20" s="46">
        <f>SUM(X18:X19)</f>
        <v>100</v>
      </c>
      <c r="Y20" s="45"/>
      <c r="AA20" s="43">
        <v>100</v>
      </c>
    </row>
    <row r="21" spans="1:24" ht="1.5" customHeight="1">
      <c r="A21" s="18"/>
      <c r="B21" s="1"/>
      <c r="C21" s="1"/>
      <c r="D21" s="1"/>
      <c r="E21" s="12"/>
      <c r="F21" s="13"/>
      <c r="G21" s="1"/>
      <c r="H21" s="1"/>
      <c r="I21" s="12"/>
      <c r="J21" s="25"/>
      <c r="K21" s="26"/>
      <c r="N21" s="43"/>
      <c r="P21" s="45"/>
      <c r="Q21" s="43"/>
      <c r="R21" s="42"/>
      <c r="S21" s="45"/>
      <c r="T21" s="43"/>
      <c r="V21" s="45" t="e">
        <f t="shared" si="2"/>
        <v>#DIV/0!</v>
      </c>
      <c r="W21" s="42"/>
      <c r="X21" s="44"/>
    </row>
    <row r="22" spans="1:24" ht="12.75">
      <c r="A22" s="2" t="s">
        <v>18</v>
      </c>
      <c r="B22" s="1"/>
      <c r="C22" s="1"/>
      <c r="D22" s="1"/>
      <c r="E22" s="12"/>
      <c r="F22" s="13"/>
      <c r="G22" s="1"/>
      <c r="H22" s="1"/>
      <c r="I22" s="12"/>
      <c r="J22" s="25"/>
      <c r="K22" s="26"/>
      <c r="N22" s="43"/>
      <c r="P22" s="45"/>
      <c r="Q22" s="43"/>
      <c r="R22" s="42"/>
      <c r="S22" s="45"/>
      <c r="T22" s="43"/>
      <c r="V22" s="45"/>
      <c r="W22" s="42"/>
      <c r="X22" s="44"/>
    </row>
    <row r="23" spans="1:27" s="24" customFormat="1" ht="12.75">
      <c r="A23" s="21" t="s">
        <v>54</v>
      </c>
      <c r="B23" s="22">
        <v>5300</v>
      </c>
      <c r="C23" s="22">
        <f>103+5276</f>
        <v>5379</v>
      </c>
      <c r="D23" s="22">
        <v>5500</v>
      </c>
      <c r="E23" s="13">
        <f>254+6230</f>
        <v>6484</v>
      </c>
      <c r="F23" s="13">
        <v>5900</v>
      </c>
      <c r="G23" s="22">
        <v>5845</v>
      </c>
      <c r="H23" s="22">
        <v>5028.71</v>
      </c>
      <c r="I23" s="13">
        <v>6000</v>
      </c>
      <c r="J23" s="25">
        <f>H23/I23</f>
        <v>0.8381183333333333</v>
      </c>
      <c r="K23" s="22">
        <v>4160.59</v>
      </c>
      <c r="L23" s="22">
        <f>15*400</f>
        <v>6000</v>
      </c>
      <c r="M23" s="23">
        <f>K23/L23</f>
        <v>0.6934316666666667</v>
      </c>
      <c r="N23" s="44">
        <v>4658.82</v>
      </c>
      <c r="O23" s="44">
        <v>5000</v>
      </c>
      <c r="P23" s="45">
        <f aca="true" t="shared" si="6" ref="P23:P34">N23/O23</f>
        <v>0.9317639999999999</v>
      </c>
      <c r="Q23" s="44">
        <v>6157.76</v>
      </c>
      <c r="R23" s="44">
        <v>5450</v>
      </c>
      <c r="S23" s="45">
        <f t="shared" si="1"/>
        <v>1.1298642201834863</v>
      </c>
      <c r="T23" s="43">
        <v>5371.85</v>
      </c>
      <c r="U23" s="44">
        <v>8400</v>
      </c>
      <c r="V23" s="45">
        <f t="shared" si="2"/>
        <v>0.6395059523809524</v>
      </c>
      <c r="W23" s="44">
        <v>4744.78</v>
      </c>
      <c r="X23" s="44">
        <v>6000</v>
      </c>
      <c r="Y23" s="60"/>
      <c r="AA23" s="44">
        <v>5000</v>
      </c>
    </row>
    <row r="24" spans="1:27" s="24" customFormat="1" ht="12.75">
      <c r="A24" s="21" t="s">
        <v>56</v>
      </c>
      <c r="B24" s="22"/>
      <c r="C24" s="22"/>
      <c r="D24" s="22"/>
      <c r="E24" s="13"/>
      <c r="F24" s="13"/>
      <c r="G24" s="22"/>
      <c r="H24" s="22"/>
      <c r="I24" s="13"/>
      <c r="J24" s="25"/>
      <c r="K24" s="22"/>
      <c r="L24" s="22"/>
      <c r="M24" s="23"/>
      <c r="N24" s="44"/>
      <c r="O24" s="44"/>
      <c r="P24" s="45"/>
      <c r="Q24" s="44"/>
      <c r="R24" s="44"/>
      <c r="S24" s="45"/>
      <c r="T24" s="43"/>
      <c r="U24" s="44">
        <v>2000</v>
      </c>
      <c r="V24" s="45">
        <f t="shared" si="2"/>
        <v>0</v>
      </c>
      <c r="W24" s="44"/>
      <c r="X24" s="44">
        <v>2000</v>
      </c>
      <c r="Y24" s="60"/>
      <c r="AA24" s="44">
        <v>2000</v>
      </c>
    </row>
    <row r="25" spans="1:27" s="52" customFormat="1" ht="12.75">
      <c r="A25" s="47" t="s">
        <v>19</v>
      </c>
      <c r="B25" s="48">
        <f aca="true" t="shared" si="7" ref="B25:I25">SUM(B23:B23)</f>
        <v>5300</v>
      </c>
      <c r="C25" s="48">
        <f t="shared" si="7"/>
        <v>5379</v>
      </c>
      <c r="D25" s="48">
        <f t="shared" si="7"/>
        <v>5500</v>
      </c>
      <c r="E25" s="48">
        <f t="shared" si="7"/>
        <v>6484</v>
      </c>
      <c r="F25" s="48">
        <f t="shared" si="7"/>
        <v>5900</v>
      </c>
      <c r="G25" s="48">
        <f t="shared" si="7"/>
        <v>5845</v>
      </c>
      <c r="H25" s="48">
        <f t="shared" si="7"/>
        <v>5028.71</v>
      </c>
      <c r="I25" s="49">
        <f t="shared" si="7"/>
        <v>6000</v>
      </c>
      <c r="J25" s="50">
        <f>H25/I25</f>
        <v>0.8381183333333333</v>
      </c>
      <c r="K25" s="51">
        <f>K23</f>
        <v>4160.59</v>
      </c>
      <c r="L25" s="51">
        <f aca="true" t="shared" si="8" ref="L25:R25">L23</f>
        <v>6000</v>
      </c>
      <c r="M25" s="51">
        <f t="shared" si="8"/>
        <v>0.6934316666666667</v>
      </c>
      <c r="N25" s="51">
        <f t="shared" si="8"/>
        <v>4658.82</v>
      </c>
      <c r="O25" s="51">
        <f t="shared" si="8"/>
        <v>5000</v>
      </c>
      <c r="P25" s="51">
        <f t="shared" si="8"/>
        <v>0.9317639999999999</v>
      </c>
      <c r="Q25" s="51">
        <f t="shared" si="8"/>
        <v>6157.76</v>
      </c>
      <c r="R25" s="51">
        <f t="shared" si="8"/>
        <v>5450</v>
      </c>
      <c r="S25" s="45">
        <f t="shared" si="1"/>
        <v>1.1298642201834863</v>
      </c>
      <c r="T25" s="43">
        <f>T23+T24</f>
        <v>5371.85</v>
      </c>
      <c r="U25" s="43">
        <f>SUM(U23:U24)</f>
        <v>10400</v>
      </c>
      <c r="V25" s="45">
        <f t="shared" si="2"/>
        <v>0.5165240384615385</v>
      </c>
      <c r="W25" s="43">
        <f>SUM(W23:W24)</f>
        <v>4744.78</v>
      </c>
      <c r="X25" s="46">
        <f>SUM(X23:X24)</f>
        <v>8000</v>
      </c>
      <c r="Y25" s="45"/>
      <c r="AA25" s="43">
        <v>6000</v>
      </c>
    </row>
    <row r="26" spans="1:24" ht="1.5" customHeight="1">
      <c r="A26" s="18"/>
      <c r="B26" s="1"/>
      <c r="C26" s="1"/>
      <c r="D26" s="1"/>
      <c r="E26" s="12"/>
      <c r="F26" s="13"/>
      <c r="G26" s="1"/>
      <c r="H26" s="1"/>
      <c r="I26" s="12"/>
      <c r="J26" s="25"/>
      <c r="K26" s="26"/>
      <c r="N26" s="43"/>
      <c r="P26" s="45"/>
      <c r="Q26" s="43"/>
      <c r="R26" s="42"/>
      <c r="S26" s="45"/>
      <c r="T26" s="43"/>
      <c r="V26" s="45" t="e">
        <f t="shared" si="2"/>
        <v>#DIV/0!</v>
      </c>
      <c r="W26" s="42"/>
      <c r="X26" s="44"/>
    </row>
    <row r="27" spans="1:24" ht="12.75">
      <c r="A27" s="2" t="s">
        <v>20</v>
      </c>
      <c r="B27" s="1"/>
      <c r="C27" s="1"/>
      <c r="D27" s="1"/>
      <c r="E27" s="12"/>
      <c r="F27" s="13"/>
      <c r="G27" s="1"/>
      <c r="H27" s="1"/>
      <c r="I27" s="12"/>
      <c r="J27" s="25"/>
      <c r="K27" s="26"/>
      <c r="N27" s="43"/>
      <c r="P27" s="45"/>
      <c r="Q27" s="43"/>
      <c r="R27" s="42"/>
      <c r="S27" s="45"/>
      <c r="T27" s="43"/>
      <c r="V27" s="45"/>
      <c r="W27" s="42"/>
      <c r="X27" s="44"/>
    </row>
    <row r="28" spans="1:27" s="24" customFormat="1" ht="12.75">
      <c r="A28" s="21" t="s">
        <v>21</v>
      </c>
      <c r="B28" s="22">
        <v>750</v>
      </c>
      <c r="C28" s="22">
        <v>293</v>
      </c>
      <c r="D28" s="22">
        <v>250</v>
      </c>
      <c r="E28" s="13">
        <v>0</v>
      </c>
      <c r="F28" s="13">
        <v>0</v>
      </c>
      <c r="G28" s="22">
        <v>0</v>
      </c>
      <c r="H28" s="22">
        <v>250</v>
      </c>
      <c r="I28" s="13">
        <v>250</v>
      </c>
      <c r="J28" s="25">
        <f>H28/I28</f>
        <v>1</v>
      </c>
      <c r="K28" s="22">
        <v>270.75</v>
      </c>
      <c r="L28" s="22">
        <v>250</v>
      </c>
      <c r="M28" s="23">
        <f>K28/L28</f>
        <v>1.083</v>
      </c>
      <c r="N28" s="44">
        <v>0</v>
      </c>
      <c r="O28" s="44">
        <v>300</v>
      </c>
      <c r="P28" s="45">
        <f t="shared" si="6"/>
        <v>0</v>
      </c>
      <c r="Q28" s="44">
        <v>0</v>
      </c>
      <c r="R28" s="44">
        <v>300</v>
      </c>
      <c r="S28" s="45">
        <f t="shared" si="1"/>
        <v>0</v>
      </c>
      <c r="T28" s="43"/>
      <c r="U28" s="44">
        <v>0</v>
      </c>
      <c r="V28" s="45"/>
      <c r="W28" s="44"/>
      <c r="X28" s="44"/>
      <c r="Y28" s="60"/>
      <c r="AA28" s="44"/>
    </row>
    <row r="29" spans="1:27" s="24" customFormat="1" ht="12.75">
      <c r="A29" s="21" t="s">
        <v>22</v>
      </c>
      <c r="B29" s="22">
        <v>3000</v>
      </c>
      <c r="C29" s="22">
        <f>3910+381</f>
        <v>4291</v>
      </c>
      <c r="D29" s="22">
        <v>2500</v>
      </c>
      <c r="E29" s="13">
        <f>2445+138</f>
        <v>2583</v>
      </c>
      <c r="F29" s="13">
        <v>2900</v>
      </c>
      <c r="G29" s="22">
        <v>250</v>
      </c>
      <c r="H29" s="22">
        <v>267</v>
      </c>
      <c r="I29" s="13">
        <f>1600-250-150</f>
        <v>1200</v>
      </c>
      <c r="J29" s="25">
        <f>H29/I29</f>
        <v>0.2225</v>
      </c>
      <c r="K29" s="22">
        <v>1029</v>
      </c>
      <c r="L29" s="22">
        <v>1200</v>
      </c>
      <c r="M29" s="23">
        <f>K29/L29</f>
        <v>0.8575</v>
      </c>
      <c r="N29" s="44">
        <f>975+57</f>
        <v>1032</v>
      </c>
      <c r="O29" s="44">
        <v>900</v>
      </c>
      <c r="P29" s="45">
        <f t="shared" si="6"/>
        <v>1.1466666666666667</v>
      </c>
      <c r="Q29" s="44">
        <f>525+33</f>
        <v>558</v>
      </c>
      <c r="R29" s="44">
        <v>1000</v>
      </c>
      <c r="S29" s="45">
        <f t="shared" si="1"/>
        <v>0.558</v>
      </c>
      <c r="T29" s="43">
        <f>272+212</f>
        <v>484</v>
      </c>
      <c r="U29" s="44">
        <v>1000</v>
      </c>
      <c r="V29" s="45">
        <f t="shared" si="2"/>
        <v>0.484</v>
      </c>
      <c r="W29" s="44">
        <v>470</v>
      </c>
      <c r="X29" s="44">
        <v>500</v>
      </c>
      <c r="Y29" s="60"/>
      <c r="AA29" s="44">
        <v>500</v>
      </c>
    </row>
    <row r="30" spans="1:27" s="20" customFormat="1" ht="12.75">
      <c r="A30" s="2" t="s">
        <v>23</v>
      </c>
      <c r="B30" s="15">
        <f aca="true" t="shared" si="9" ref="B30:I30">SUM(B28:B29)</f>
        <v>3750</v>
      </c>
      <c r="C30" s="15">
        <f t="shared" si="9"/>
        <v>4584</v>
      </c>
      <c r="D30" s="15">
        <f t="shared" si="9"/>
        <v>2750</v>
      </c>
      <c r="E30" s="15">
        <f t="shared" si="9"/>
        <v>2583</v>
      </c>
      <c r="F30" s="15">
        <f t="shared" si="9"/>
        <v>2900</v>
      </c>
      <c r="G30" s="15">
        <f t="shared" si="9"/>
        <v>250</v>
      </c>
      <c r="H30" s="15">
        <f t="shared" si="9"/>
        <v>517</v>
      </c>
      <c r="I30" s="19">
        <f t="shared" si="9"/>
        <v>1450</v>
      </c>
      <c r="J30" s="25">
        <f>H30/I30</f>
        <v>0.356551724137931</v>
      </c>
      <c r="K30" s="26">
        <f>K28+K29</f>
        <v>1299.75</v>
      </c>
      <c r="L30" s="15">
        <f>L28+L29</f>
        <v>1450</v>
      </c>
      <c r="M30" s="16">
        <f>K30/L30</f>
        <v>0.8963793103448275</v>
      </c>
      <c r="N30" s="43">
        <f>N28+N29</f>
        <v>1032</v>
      </c>
      <c r="O30" s="43">
        <f>O28+O29</f>
        <v>1200</v>
      </c>
      <c r="P30" s="45">
        <f t="shared" si="6"/>
        <v>0.86</v>
      </c>
      <c r="Q30" s="43">
        <f>Q28+Q29</f>
        <v>558</v>
      </c>
      <c r="R30" s="43">
        <f>R28+R29</f>
        <v>1300</v>
      </c>
      <c r="S30" s="45">
        <f t="shared" si="1"/>
        <v>0.42923076923076925</v>
      </c>
      <c r="T30" s="43">
        <v>484</v>
      </c>
      <c r="U30" s="43">
        <f>SUM(U28:U29)</f>
        <v>1000</v>
      </c>
      <c r="V30" s="45">
        <f t="shared" si="2"/>
        <v>0.484</v>
      </c>
      <c r="W30" s="43">
        <f>SUM(W28:W29)</f>
        <v>470</v>
      </c>
      <c r="X30" s="46">
        <f>SUM(X28:X29)</f>
        <v>500</v>
      </c>
      <c r="Y30" s="45"/>
      <c r="AA30" s="43">
        <v>500</v>
      </c>
    </row>
    <row r="31" spans="1:24" ht="1.5" customHeight="1">
      <c r="A31" s="18"/>
      <c r="B31" s="1"/>
      <c r="C31" s="1"/>
      <c r="D31" s="1"/>
      <c r="E31" s="12"/>
      <c r="F31" s="13"/>
      <c r="G31" s="1"/>
      <c r="H31" s="1"/>
      <c r="I31" s="12"/>
      <c r="J31" s="25"/>
      <c r="K31" s="26"/>
      <c r="N31" s="43"/>
      <c r="P31" s="45"/>
      <c r="Q31" s="43"/>
      <c r="R31" s="42"/>
      <c r="S31" s="45"/>
      <c r="T31" s="43"/>
      <c r="V31" s="45" t="e">
        <f t="shared" si="2"/>
        <v>#DIV/0!</v>
      </c>
      <c r="W31" s="42"/>
      <c r="X31" s="44"/>
    </row>
    <row r="32" spans="1:24" ht="12.75">
      <c r="A32" s="2" t="s">
        <v>24</v>
      </c>
      <c r="B32" s="1"/>
      <c r="C32" s="1"/>
      <c r="D32" s="1"/>
      <c r="E32" s="12"/>
      <c r="F32" s="13"/>
      <c r="G32" s="1"/>
      <c r="H32" s="1"/>
      <c r="I32" s="12"/>
      <c r="J32" s="25"/>
      <c r="K32" s="26"/>
      <c r="N32" s="43"/>
      <c r="P32" s="45"/>
      <c r="Q32" s="43"/>
      <c r="R32" s="42"/>
      <c r="S32" s="45"/>
      <c r="T32" s="43"/>
      <c r="V32" s="45"/>
      <c r="W32" s="42"/>
      <c r="X32" s="44"/>
    </row>
    <row r="33" spans="1:27" s="24" customFormat="1" ht="12.75">
      <c r="A33" s="21" t="s">
        <v>59</v>
      </c>
      <c r="B33" s="22">
        <v>300</v>
      </c>
      <c r="C33" s="22">
        <v>182</v>
      </c>
      <c r="D33" s="22">
        <v>175</v>
      </c>
      <c r="E33" s="13">
        <f>41.62+60.51</f>
        <v>102.13</v>
      </c>
      <c r="F33" s="13">
        <v>150</v>
      </c>
      <c r="G33" s="22">
        <v>94.25</v>
      </c>
      <c r="H33" s="22">
        <v>94.25</v>
      </c>
      <c r="I33" s="13">
        <v>100</v>
      </c>
      <c r="J33" s="25">
        <f>H33/I33</f>
        <v>0.9425</v>
      </c>
      <c r="K33" s="22">
        <v>0</v>
      </c>
      <c r="L33" s="22">
        <v>100</v>
      </c>
      <c r="M33" s="25">
        <f>K33/L33</f>
        <v>0</v>
      </c>
      <c r="N33" s="46">
        <v>0</v>
      </c>
      <c r="O33" s="44">
        <v>100</v>
      </c>
      <c r="P33" s="45">
        <f t="shared" si="6"/>
        <v>0</v>
      </c>
      <c r="Q33" s="44">
        <f>119.01</f>
        <v>119.01</v>
      </c>
      <c r="R33" s="44">
        <v>125</v>
      </c>
      <c r="S33" s="45">
        <f t="shared" si="1"/>
        <v>0.95208</v>
      </c>
      <c r="T33" s="43">
        <v>419.56</v>
      </c>
      <c r="U33" s="44">
        <v>125</v>
      </c>
      <c r="V33" s="45">
        <f t="shared" si="2"/>
        <v>3.35648</v>
      </c>
      <c r="W33" s="44">
        <f>77.35+54.38</f>
        <v>131.73</v>
      </c>
      <c r="X33" s="44">
        <v>350</v>
      </c>
      <c r="Y33" s="60"/>
      <c r="AA33" s="44">
        <v>300</v>
      </c>
    </row>
    <row r="34" spans="1:27" s="20" customFormat="1" ht="12.75">
      <c r="A34" s="2" t="s">
        <v>25</v>
      </c>
      <c r="B34" s="15">
        <f aca="true" t="shared" si="10" ref="B34:H34">SUM(B33:B33)</f>
        <v>300</v>
      </c>
      <c r="C34" s="15">
        <f t="shared" si="10"/>
        <v>182</v>
      </c>
      <c r="D34" s="15">
        <f t="shared" si="10"/>
        <v>175</v>
      </c>
      <c r="E34" s="15">
        <f t="shared" si="10"/>
        <v>102.13</v>
      </c>
      <c r="F34" s="15">
        <f t="shared" si="10"/>
        <v>150</v>
      </c>
      <c r="G34" s="15">
        <f t="shared" si="10"/>
        <v>94.25</v>
      </c>
      <c r="H34" s="15">
        <f t="shared" si="10"/>
        <v>94.25</v>
      </c>
      <c r="I34" s="19">
        <f>I33</f>
        <v>100</v>
      </c>
      <c r="J34" s="25">
        <f>H34/I34</f>
        <v>0.9425</v>
      </c>
      <c r="K34" s="26">
        <f>K33</f>
        <v>0</v>
      </c>
      <c r="L34" s="15">
        <f>L33</f>
        <v>100</v>
      </c>
      <c r="M34" s="16">
        <f>M33</f>
        <v>0</v>
      </c>
      <c r="N34" s="43">
        <v>0</v>
      </c>
      <c r="O34" s="43">
        <f>O33</f>
        <v>100</v>
      </c>
      <c r="P34" s="45">
        <f t="shared" si="6"/>
        <v>0</v>
      </c>
      <c r="Q34" s="43">
        <f>Q33</f>
        <v>119.01</v>
      </c>
      <c r="R34" s="43">
        <f>R33</f>
        <v>125</v>
      </c>
      <c r="S34" s="45">
        <f t="shared" si="1"/>
        <v>0.95208</v>
      </c>
      <c r="T34" s="43">
        <v>419.56</v>
      </c>
      <c r="U34" s="43">
        <f>SUM(U33)</f>
        <v>125</v>
      </c>
      <c r="V34" s="45">
        <f t="shared" si="2"/>
        <v>3.35648</v>
      </c>
      <c r="W34" s="43">
        <v>131.73</v>
      </c>
      <c r="X34" s="46">
        <f>X33</f>
        <v>350</v>
      </c>
      <c r="Y34" s="45"/>
      <c r="AA34" s="43">
        <v>300</v>
      </c>
    </row>
    <row r="35" spans="1:24" ht="1.5" customHeight="1">
      <c r="A35" s="18"/>
      <c r="B35" s="1"/>
      <c r="C35" s="1"/>
      <c r="D35" s="1"/>
      <c r="E35" s="12"/>
      <c r="F35" s="13"/>
      <c r="G35" s="1"/>
      <c r="H35" s="1"/>
      <c r="I35" s="12"/>
      <c r="J35" s="25"/>
      <c r="K35" s="26"/>
      <c r="N35" s="43"/>
      <c r="P35" s="45"/>
      <c r="Q35" s="43"/>
      <c r="R35" s="42"/>
      <c r="S35" s="45"/>
      <c r="T35" s="43"/>
      <c r="V35" s="45" t="e">
        <f t="shared" si="2"/>
        <v>#DIV/0!</v>
      </c>
      <c r="W35" s="42"/>
      <c r="X35" s="44"/>
    </row>
    <row r="36" spans="1:24" ht="12.75">
      <c r="A36" s="2" t="s">
        <v>26</v>
      </c>
      <c r="B36" s="1"/>
      <c r="C36" s="1"/>
      <c r="D36" s="1"/>
      <c r="E36" s="12"/>
      <c r="F36" s="13"/>
      <c r="G36" s="1"/>
      <c r="H36" s="1"/>
      <c r="I36" s="12"/>
      <c r="J36" s="25"/>
      <c r="K36" s="26"/>
      <c r="N36" s="43"/>
      <c r="P36" s="45"/>
      <c r="Q36" s="43"/>
      <c r="R36" s="42"/>
      <c r="S36" s="45"/>
      <c r="T36" s="43"/>
      <c r="V36" s="45"/>
      <c r="W36" s="42"/>
      <c r="X36" s="44"/>
    </row>
    <row r="37" spans="1:27" s="24" customFormat="1" ht="12.75">
      <c r="A37" s="21" t="s">
        <v>51</v>
      </c>
      <c r="B37" s="22">
        <v>400</v>
      </c>
      <c r="C37" s="22">
        <f>318+695</f>
        <v>1013</v>
      </c>
      <c r="D37" s="22">
        <v>0</v>
      </c>
      <c r="E37" s="13">
        <v>0</v>
      </c>
      <c r="F37" s="13">
        <v>0</v>
      </c>
      <c r="G37" s="22">
        <f>161.68</f>
        <v>161.68</v>
      </c>
      <c r="H37" s="22">
        <v>22</v>
      </c>
      <c r="I37" s="13">
        <v>100</v>
      </c>
      <c r="J37" s="25">
        <f>H37/I37</f>
        <v>0.22</v>
      </c>
      <c r="K37" s="22">
        <v>0</v>
      </c>
      <c r="L37" s="22">
        <v>250</v>
      </c>
      <c r="M37" s="23">
        <f>K37/L37</f>
        <v>0</v>
      </c>
      <c r="N37" s="44">
        <v>0</v>
      </c>
      <c r="O37" s="44">
        <v>0</v>
      </c>
      <c r="P37" s="45"/>
      <c r="Q37" s="44">
        <f>90.75+103.86</f>
        <v>194.61</v>
      </c>
      <c r="R37" s="44">
        <v>200</v>
      </c>
      <c r="S37" s="45">
        <f t="shared" si="1"/>
        <v>0.9730500000000001</v>
      </c>
      <c r="T37" s="43"/>
      <c r="U37" s="44">
        <v>200</v>
      </c>
      <c r="V37" s="45">
        <f t="shared" si="2"/>
        <v>0</v>
      </c>
      <c r="W37" s="44"/>
      <c r="X37" s="44">
        <v>200</v>
      </c>
      <c r="Y37" s="60"/>
      <c r="AA37" s="44">
        <v>200</v>
      </c>
    </row>
    <row r="38" spans="1:27" s="20" customFormat="1" ht="12.75">
      <c r="A38" s="2" t="s">
        <v>27</v>
      </c>
      <c r="B38" s="15">
        <f aca="true" t="shared" si="11" ref="B38:I38">SUM(B37:B37)</f>
        <v>400</v>
      </c>
      <c r="C38" s="15">
        <f t="shared" si="11"/>
        <v>1013</v>
      </c>
      <c r="D38" s="15">
        <f t="shared" si="11"/>
        <v>0</v>
      </c>
      <c r="E38" s="15">
        <f t="shared" si="11"/>
        <v>0</v>
      </c>
      <c r="F38" s="15">
        <f t="shared" si="11"/>
        <v>0</v>
      </c>
      <c r="G38" s="15">
        <f t="shared" si="11"/>
        <v>161.68</v>
      </c>
      <c r="H38" s="15">
        <f t="shared" si="11"/>
        <v>22</v>
      </c>
      <c r="I38" s="19">
        <f t="shared" si="11"/>
        <v>100</v>
      </c>
      <c r="J38" s="19">
        <f aca="true" t="shared" si="12" ref="J38:O38">SUM(J37:J37)</f>
        <v>0.22</v>
      </c>
      <c r="K38" s="19">
        <f t="shared" si="12"/>
        <v>0</v>
      </c>
      <c r="L38" s="19">
        <f t="shared" si="12"/>
        <v>250</v>
      </c>
      <c r="M38" s="19">
        <f t="shared" si="12"/>
        <v>0</v>
      </c>
      <c r="N38" s="19">
        <f t="shared" si="12"/>
        <v>0</v>
      </c>
      <c r="O38" s="19">
        <f t="shared" si="12"/>
        <v>0</v>
      </c>
      <c r="P38" s="26">
        <f>I37</f>
        <v>100</v>
      </c>
      <c r="Q38" s="26">
        <f>Q37</f>
        <v>194.61</v>
      </c>
      <c r="R38" s="26">
        <f>R37</f>
        <v>200</v>
      </c>
      <c r="S38" s="45">
        <f t="shared" si="1"/>
        <v>0.9730500000000001</v>
      </c>
      <c r="T38" s="43"/>
      <c r="U38" s="43">
        <f>SUM(U37)</f>
        <v>200</v>
      </c>
      <c r="V38" s="45">
        <f t="shared" si="2"/>
        <v>0</v>
      </c>
      <c r="W38" s="43"/>
      <c r="X38" s="46">
        <f>X37</f>
        <v>200</v>
      </c>
      <c r="Y38" s="45"/>
      <c r="AA38" s="43">
        <v>200</v>
      </c>
    </row>
    <row r="39" spans="1:24" ht="1.5" customHeight="1">
      <c r="A39" s="18"/>
      <c r="B39" s="1"/>
      <c r="C39" s="1"/>
      <c r="D39" s="1"/>
      <c r="E39" s="12"/>
      <c r="F39" s="13"/>
      <c r="G39" s="1"/>
      <c r="H39" s="1"/>
      <c r="I39" s="12"/>
      <c r="J39" s="25"/>
      <c r="K39" s="26"/>
      <c r="N39" s="43"/>
      <c r="P39" s="45"/>
      <c r="Q39" s="43"/>
      <c r="R39" s="42"/>
      <c r="S39" s="45"/>
      <c r="T39" s="43"/>
      <c r="V39" s="45" t="e">
        <f t="shared" si="2"/>
        <v>#DIV/0!</v>
      </c>
      <c r="W39" s="42"/>
      <c r="X39" s="44"/>
    </row>
    <row r="40" spans="1:24" ht="12.75">
      <c r="A40" s="2" t="s">
        <v>28</v>
      </c>
      <c r="B40" s="1"/>
      <c r="C40" s="1"/>
      <c r="D40" s="1"/>
      <c r="E40" s="12"/>
      <c r="F40" s="13"/>
      <c r="G40" s="1"/>
      <c r="H40" s="1"/>
      <c r="I40" s="12"/>
      <c r="J40" s="25"/>
      <c r="K40" s="26"/>
      <c r="N40" s="43"/>
      <c r="P40" s="45"/>
      <c r="Q40" s="43"/>
      <c r="R40" s="42"/>
      <c r="S40" s="45"/>
      <c r="T40" s="43"/>
      <c r="V40" s="45"/>
      <c r="W40" s="42"/>
      <c r="X40" s="44"/>
    </row>
    <row r="41" spans="1:27" s="24" customFormat="1" ht="12.75">
      <c r="A41" s="21" t="s">
        <v>29</v>
      </c>
      <c r="B41" s="22">
        <v>5250</v>
      </c>
      <c r="C41" s="22">
        <v>3496</v>
      </c>
      <c r="D41" s="22">
        <f>2000+300</f>
        <v>2300</v>
      </c>
      <c r="E41" s="13">
        <f>98+1000+63+63+470.01</f>
        <v>1694.01</v>
      </c>
      <c r="F41" s="13">
        <v>1800</v>
      </c>
      <c r="G41" s="22">
        <f>63+484.37+63+489.46+63</f>
        <v>1162.83</v>
      </c>
      <c r="H41" s="22">
        <f>1399.62+62.62</f>
        <v>1462.2399999999998</v>
      </c>
      <c r="I41" s="13">
        <v>1500</v>
      </c>
      <c r="J41" s="25">
        <f>H41/I41</f>
        <v>0.9748266666666665</v>
      </c>
      <c r="K41" s="22">
        <v>1533.57</v>
      </c>
      <c r="L41" s="22">
        <v>1600</v>
      </c>
      <c r="M41" s="23">
        <f>K41/L41</f>
        <v>0.95848125</v>
      </c>
      <c r="N41" s="44">
        <v>1107.95</v>
      </c>
      <c r="O41" s="44">
        <v>1200</v>
      </c>
      <c r="P41" s="45">
        <f aca="true" t="shared" si="13" ref="P41:P55">N41/O41</f>
        <v>0.9232916666666667</v>
      </c>
      <c r="Q41" s="44">
        <v>1136.58</v>
      </c>
      <c r="R41" s="44">
        <v>1225</v>
      </c>
      <c r="S41" s="45">
        <f t="shared" si="1"/>
        <v>0.9278204081632653</v>
      </c>
      <c r="T41" s="42">
        <v>1125.44</v>
      </c>
      <c r="U41" s="44">
        <v>1200</v>
      </c>
      <c r="V41" s="45">
        <f t="shared" si="2"/>
        <v>0.9378666666666667</v>
      </c>
      <c r="W41" s="44">
        <f>642.46+756+35.57+36.2+630.2</f>
        <v>2100.4300000000003</v>
      </c>
      <c r="X41" s="44">
        <v>2500</v>
      </c>
      <c r="Y41" s="60">
        <f>W41/X41</f>
        <v>0.8401720000000001</v>
      </c>
      <c r="AA41" s="44">
        <v>2500</v>
      </c>
    </row>
    <row r="42" spans="1:27" s="24" customFormat="1" ht="12.75">
      <c r="A42" s="21" t="s">
        <v>30</v>
      </c>
      <c r="B42" s="22">
        <v>13500</v>
      </c>
      <c r="C42" s="22">
        <v>13395</v>
      </c>
      <c r="D42" s="22">
        <f>(1100*10)+(98*4)</f>
        <v>11392</v>
      </c>
      <c r="E42" s="13">
        <f>98+2590+98+2635+98+2697.5+63+2470</f>
        <v>10749.5</v>
      </c>
      <c r="F42" s="13">
        <v>9000</v>
      </c>
      <c r="G42" s="22">
        <f>63+2415+63+2315+63+2180+63+2020+63</f>
        <v>9245</v>
      </c>
      <c r="H42" s="22">
        <v>7535.74</v>
      </c>
      <c r="I42" s="13">
        <v>8200</v>
      </c>
      <c r="J42" s="25">
        <f>H42/I42</f>
        <v>0.9189926829268292</v>
      </c>
      <c r="K42" s="22">
        <v>6397.4</v>
      </c>
      <c r="L42" s="22">
        <v>6800</v>
      </c>
      <c r="M42" s="23">
        <f>K42/L42</f>
        <v>0.9407941176470588</v>
      </c>
      <c r="N42" s="44">
        <v>4242.37</v>
      </c>
      <c r="O42" s="44">
        <v>5925</v>
      </c>
      <c r="P42" s="45">
        <f t="shared" si="13"/>
        <v>0.7160118143459916</v>
      </c>
      <c r="Q42" s="44">
        <v>0</v>
      </c>
      <c r="R42" s="44">
        <v>4400</v>
      </c>
      <c r="S42" s="45">
        <f t="shared" si="1"/>
        <v>0</v>
      </c>
      <c r="T42" s="43"/>
      <c r="U42" s="44">
        <v>2625</v>
      </c>
      <c r="V42" s="45">
        <f t="shared" si="2"/>
        <v>0</v>
      </c>
      <c r="W42" s="44">
        <v>2156</v>
      </c>
      <c r="X42" s="44">
        <v>8000</v>
      </c>
      <c r="Y42" s="60"/>
      <c r="AA42" s="44">
        <f>5.5*3*325</f>
        <v>5362.5</v>
      </c>
    </row>
    <row r="43" spans="1:27" s="24" customFormat="1" ht="12.75">
      <c r="A43" s="21" t="s">
        <v>31</v>
      </c>
      <c r="B43" s="22">
        <v>500</v>
      </c>
      <c r="C43" s="22">
        <f>654+79</f>
        <v>733</v>
      </c>
      <c r="D43" s="22">
        <f>555.53+300</f>
        <v>855.53</v>
      </c>
      <c r="E43" s="13">
        <f>856+626</f>
        <v>1482</v>
      </c>
      <c r="F43" s="13">
        <v>600</v>
      </c>
      <c r="G43" s="22">
        <f>616</f>
        <v>616</v>
      </c>
      <c r="H43" s="22">
        <f>662.9+649.75</f>
        <v>1312.65</v>
      </c>
      <c r="I43" s="13">
        <v>1200</v>
      </c>
      <c r="J43" s="25">
        <f>H43/I43</f>
        <v>1.0938750000000002</v>
      </c>
      <c r="K43" s="22">
        <v>609</v>
      </c>
      <c r="L43" s="22">
        <v>600</v>
      </c>
      <c r="M43" s="23">
        <f>K43/L43</f>
        <v>1.015</v>
      </c>
      <c r="N43" s="44">
        <v>919</v>
      </c>
      <c r="O43" s="44">
        <v>900</v>
      </c>
      <c r="P43" s="45">
        <f t="shared" si="13"/>
        <v>1.021111111111111</v>
      </c>
      <c r="Q43" s="44">
        <v>842.08</v>
      </c>
      <c r="R43" s="44">
        <v>850</v>
      </c>
      <c r="S43" s="45">
        <f t="shared" si="1"/>
        <v>0.9906823529411766</v>
      </c>
      <c r="T43" s="43"/>
      <c r="U43" s="44">
        <v>0</v>
      </c>
      <c r="V43" s="45"/>
      <c r="W43" s="44"/>
      <c r="X43" s="44"/>
      <c r="Y43" s="60"/>
      <c r="AA43" s="44"/>
    </row>
    <row r="44" spans="1:27" s="20" customFormat="1" ht="12.75">
      <c r="A44" s="2" t="s">
        <v>32</v>
      </c>
      <c r="B44" s="15">
        <f aca="true" t="shared" si="14" ref="B44:I44">SUM(B41:B43)</f>
        <v>19250</v>
      </c>
      <c r="C44" s="15">
        <f t="shared" si="14"/>
        <v>17624</v>
      </c>
      <c r="D44" s="15">
        <f t="shared" si="14"/>
        <v>14547.53</v>
      </c>
      <c r="E44" s="15">
        <f t="shared" si="14"/>
        <v>13925.51</v>
      </c>
      <c r="F44" s="15">
        <f t="shared" si="14"/>
        <v>11400</v>
      </c>
      <c r="G44" s="15">
        <f t="shared" si="14"/>
        <v>11023.83</v>
      </c>
      <c r="H44" s="15">
        <f t="shared" si="14"/>
        <v>10310.63</v>
      </c>
      <c r="I44" s="19">
        <f t="shared" si="14"/>
        <v>10900</v>
      </c>
      <c r="J44" s="25">
        <f>H44/I44</f>
        <v>0.9459293577981651</v>
      </c>
      <c r="K44" s="26">
        <f>SUM(K41:K43)</f>
        <v>8539.97</v>
      </c>
      <c r="L44" s="15">
        <f>SUM(L41:L43)</f>
        <v>9000</v>
      </c>
      <c r="M44" s="16">
        <f>K44/L44</f>
        <v>0.9488855555555555</v>
      </c>
      <c r="N44" s="43">
        <f>SUM(N41:N43)</f>
        <v>6269.32</v>
      </c>
      <c r="O44" s="43">
        <f>O41+O42+O43</f>
        <v>8025</v>
      </c>
      <c r="P44" s="45">
        <f t="shared" si="13"/>
        <v>0.781223676012461</v>
      </c>
      <c r="Q44" s="43">
        <f>SUM(Q41:Q43)</f>
        <v>1978.6599999999999</v>
      </c>
      <c r="R44" s="43">
        <f>SUM(R41:R43)</f>
        <v>6475</v>
      </c>
      <c r="S44" s="45">
        <f t="shared" si="1"/>
        <v>0.30558455598455597</v>
      </c>
      <c r="T44" s="43">
        <f>SUM(T41:T43)</f>
        <v>1125.44</v>
      </c>
      <c r="U44" s="43">
        <f>SUM(U41:U43)</f>
        <v>3825</v>
      </c>
      <c r="V44" s="45">
        <f t="shared" si="2"/>
        <v>0.2942326797385621</v>
      </c>
      <c r="W44" s="43">
        <f>SUM(W41:W43)</f>
        <v>4256.43</v>
      </c>
      <c r="X44" s="46">
        <f>SUM(X41:X43)</f>
        <v>10500</v>
      </c>
      <c r="Y44" s="45"/>
      <c r="AA44" s="43">
        <f>SUM(AA41:AA43)</f>
        <v>7862.5</v>
      </c>
    </row>
    <row r="45" spans="1:24" ht="1.5" customHeight="1">
      <c r="A45" s="18"/>
      <c r="B45" s="1"/>
      <c r="C45" s="1"/>
      <c r="D45" s="1"/>
      <c r="E45" s="12"/>
      <c r="F45" s="13"/>
      <c r="G45" s="1"/>
      <c r="H45" s="1"/>
      <c r="I45" s="12"/>
      <c r="J45" s="25"/>
      <c r="K45" s="26"/>
      <c r="N45" s="43"/>
      <c r="P45" s="45"/>
      <c r="Q45" s="43"/>
      <c r="R45" s="42"/>
      <c r="S45" s="45"/>
      <c r="T45" s="43"/>
      <c r="V45" s="45" t="e">
        <f t="shared" si="2"/>
        <v>#DIV/0!</v>
      </c>
      <c r="W45" s="42"/>
      <c r="X45" s="44"/>
    </row>
    <row r="46" spans="1:24" ht="12.75">
      <c r="A46" s="2" t="s">
        <v>33</v>
      </c>
      <c r="B46" s="1"/>
      <c r="C46" s="1"/>
      <c r="D46" s="1"/>
      <c r="E46" s="12"/>
      <c r="F46" s="13"/>
      <c r="G46" s="1"/>
      <c r="H46" s="1"/>
      <c r="I46" s="12"/>
      <c r="J46" s="25"/>
      <c r="K46" s="26"/>
      <c r="N46" s="43"/>
      <c r="P46" s="45"/>
      <c r="Q46" s="43"/>
      <c r="R46" s="42"/>
      <c r="S46" s="45"/>
      <c r="T46" s="43"/>
      <c r="V46" s="45"/>
      <c r="W46" s="42"/>
      <c r="X46" s="44"/>
    </row>
    <row r="47" spans="1:27" s="24" customFormat="1" ht="12.75">
      <c r="A47" s="21" t="s">
        <v>34</v>
      </c>
      <c r="B47" s="22">
        <v>1500</v>
      </c>
      <c r="C47" s="22">
        <v>1154</v>
      </c>
      <c r="D47" s="22">
        <v>600</v>
      </c>
      <c r="E47" s="13">
        <v>600</v>
      </c>
      <c r="F47" s="13">
        <v>300</v>
      </c>
      <c r="G47" s="22">
        <v>800</v>
      </c>
      <c r="H47" s="22">
        <v>0</v>
      </c>
      <c r="I47" s="13">
        <v>300</v>
      </c>
      <c r="J47" s="25">
        <f>H47/I47</f>
        <v>0</v>
      </c>
      <c r="K47" s="22">
        <v>300</v>
      </c>
      <c r="L47" s="22">
        <v>400</v>
      </c>
      <c r="M47" s="23">
        <f>K47/L47</f>
        <v>0.75</v>
      </c>
      <c r="N47" s="44">
        <v>300</v>
      </c>
      <c r="O47" s="44">
        <v>300</v>
      </c>
      <c r="P47" s="45">
        <f t="shared" si="13"/>
        <v>1</v>
      </c>
      <c r="Q47" s="44">
        <v>300</v>
      </c>
      <c r="R47" s="44">
        <v>300</v>
      </c>
      <c r="S47" s="45">
        <f t="shared" si="1"/>
        <v>1</v>
      </c>
      <c r="T47" s="43"/>
      <c r="U47" s="44">
        <v>300</v>
      </c>
      <c r="V47" s="45">
        <f t="shared" si="2"/>
        <v>0</v>
      </c>
      <c r="W47" s="44"/>
      <c r="X47" s="44">
        <v>600</v>
      </c>
      <c r="Y47" s="60"/>
      <c r="AA47" s="44">
        <v>600</v>
      </c>
    </row>
    <row r="48" spans="1:27" s="24" customFormat="1" ht="12.75">
      <c r="A48" s="21" t="s">
        <v>48</v>
      </c>
      <c r="B48" s="22"/>
      <c r="C48" s="22">
        <v>100</v>
      </c>
      <c r="D48" s="22">
        <v>1000</v>
      </c>
      <c r="E48" s="13">
        <v>1000</v>
      </c>
      <c r="F48" s="13">
        <v>500</v>
      </c>
      <c r="G48" s="22">
        <v>600</v>
      </c>
      <c r="H48" s="22">
        <v>98</v>
      </c>
      <c r="I48" s="13">
        <v>1000</v>
      </c>
      <c r="J48" s="25">
        <f>H48/I48</f>
        <v>0.098</v>
      </c>
      <c r="K48" s="22">
        <v>685.13</v>
      </c>
      <c r="L48" s="22">
        <v>1600</v>
      </c>
      <c r="M48" s="23">
        <f>K48/L48</f>
        <v>0.42820625</v>
      </c>
      <c r="N48" s="44">
        <v>191.25</v>
      </c>
      <c r="O48" s="44">
        <v>0</v>
      </c>
      <c r="P48" s="45"/>
      <c r="Q48" s="44">
        <v>1283.18</v>
      </c>
      <c r="R48" s="44">
        <v>1700</v>
      </c>
      <c r="S48" s="45">
        <f t="shared" si="1"/>
        <v>0.7548117647058824</v>
      </c>
      <c r="T48" s="43"/>
      <c r="U48" s="44">
        <v>0</v>
      </c>
      <c r="V48" s="45"/>
      <c r="W48" s="44"/>
      <c r="X48" s="44"/>
      <c r="Y48" s="60"/>
      <c r="AA48" s="44"/>
    </row>
    <row r="49" spans="1:27" s="24" customFormat="1" ht="12.75">
      <c r="A49" s="21" t="s">
        <v>52</v>
      </c>
      <c r="B49" s="22"/>
      <c r="C49" s="22"/>
      <c r="D49" s="22"/>
      <c r="E49" s="13"/>
      <c r="F49" s="13"/>
      <c r="G49" s="22"/>
      <c r="H49" s="22"/>
      <c r="I49" s="13"/>
      <c r="J49" s="25"/>
      <c r="K49" s="22"/>
      <c r="L49" s="22"/>
      <c r="M49" s="23"/>
      <c r="N49" s="44"/>
      <c r="O49" s="44"/>
      <c r="P49" s="45"/>
      <c r="Q49" s="44">
        <v>119</v>
      </c>
      <c r="R49" s="44">
        <v>500</v>
      </c>
      <c r="S49" s="45">
        <f t="shared" si="1"/>
        <v>0.238</v>
      </c>
      <c r="T49" s="43"/>
      <c r="U49" s="44">
        <v>200</v>
      </c>
      <c r="V49" s="45">
        <f t="shared" si="2"/>
        <v>0</v>
      </c>
      <c r="W49" s="44">
        <v>410</v>
      </c>
      <c r="X49" s="44">
        <v>500</v>
      </c>
      <c r="Y49" s="60"/>
      <c r="AA49" s="44">
        <v>500</v>
      </c>
    </row>
    <row r="50" spans="1:27" s="24" customFormat="1" ht="12.75">
      <c r="A50" s="21" t="s">
        <v>64</v>
      </c>
      <c r="B50" s="22"/>
      <c r="C50" s="22"/>
      <c r="D50" s="22"/>
      <c r="E50" s="13"/>
      <c r="F50" s="13"/>
      <c r="G50" s="22"/>
      <c r="H50" s="22"/>
      <c r="I50" s="13"/>
      <c r="J50" s="25"/>
      <c r="K50" s="22">
        <v>0</v>
      </c>
      <c r="L50" s="22"/>
      <c r="M50" s="23"/>
      <c r="N50" s="44">
        <v>0</v>
      </c>
      <c r="O50" s="44">
        <v>0</v>
      </c>
      <c r="P50" s="45"/>
      <c r="Q50" s="44">
        <v>1100</v>
      </c>
      <c r="R50" s="44">
        <v>1100</v>
      </c>
      <c r="S50" s="45">
        <f t="shared" si="1"/>
        <v>1</v>
      </c>
      <c r="T50" s="42">
        <v>500</v>
      </c>
      <c r="U50" s="44">
        <v>500</v>
      </c>
      <c r="V50" s="45">
        <f t="shared" si="2"/>
        <v>1</v>
      </c>
      <c r="W50" s="44">
        <v>500</v>
      </c>
      <c r="X50" s="44">
        <v>500</v>
      </c>
      <c r="Y50" s="60"/>
      <c r="AA50" s="44">
        <v>500</v>
      </c>
    </row>
    <row r="51" spans="1:27" s="20" customFormat="1" ht="12.75">
      <c r="A51" s="2" t="s">
        <v>35</v>
      </c>
      <c r="B51" s="15">
        <f aca="true" t="shared" si="15" ref="B51:I51">SUM(B47:B48)</f>
        <v>1500</v>
      </c>
      <c r="C51" s="15">
        <f t="shared" si="15"/>
        <v>1254</v>
      </c>
      <c r="D51" s="15">
        <f t="shared" si="15"/>
        <v>1600</v>
      </c>
      <c r="E51" s="15">
        <f t="shared" si="15"/>
        <v>1600</v>
      </c>
      <c r="F51" s="15">
        <f t="shared" si="15"/>
        <v>800</v>
      </c>
      <c r="G51" s="15">
        <f t="shared" si="15"/>
        <v>1400</v>
      </c>
      <c r="H51" s="15">
        <f t="shared" si="15"/>
        <v>98</v>
      </c>
      <c r="I51" s="19">
        <f t="shared" si="15"/>
        <v>1300</v>
      </c>
      <c r="J51" s="25">
        <f>H51/I51</f>
        <v>0.07538461538461538</v>
      </c>
      <c r="K51" s="26">
        <f>K47+K48</f>
        <v>985.13</v>
      </c>
      <c r="L51" s="15">
        <f>L47+L48</f>
        <v>2000</v>
      </c>
      <c r="M51" s="25">
        <f>K51/L51</f>
        <v>0.492565</v>
      </c>
      <c r="N51" s="46">
        <f>SUM(N47:N48)</f>
        <v>491.25</v>
      </c>
      <c r="O51" s="43">
        <f>O47+O48</f>
        <v>300</v>
      </c>
      <c r="P51" s="45">
        <f t="shared" si="13"/>
        <v>1.6375</v>
      </c>
      <c r="Q51" s="43">
        <f>SUM(Q47:Q50)</f>
        <v>2802.1800000000003</v>
      </c>
      <c r="R51" s="43">
        <f>SUM(R47:R50)</f>
        <v>3600</v>
      </c>
      <c r="S51" s="45">
        <f t="shared" si="1"/>
        <v>0.7783833333333334</v>
      </c>
      <c r="T51" s="43">
        <f>SUM(T47:T50)</f>
        <v>500</v>
      </c>
      <c r="U51" s="43">
        <f>SUM(U47:U50)</f>
        <v>1000</v>
      </c>
      <c r="V51" s="45">
        <f t="shared" si="2"/>
        <v>0.5</v>
      </c>
      <c r="W51" s="43">
        <f>SUM(W47:W50)</f>
        <v>910</v>
      </c>
      <c r="X51" s="46">
        <f>SUM(X47:X50)</f>
        <v>1600</v>
      </c>
      <c r="Y51" s="45"/>
      <c r="AA51" s="43">
        <v>1600</v>
      </c>
    </row>
    <row r="52" spans="1:24" ht="1.5" customHeight="1">
      <c r="A52" s="18"/>
      <c r="B52" s="1"/>
      <c r="C52" s="1"/>
      <c r="D52" s="1"/>
      <c r="E52" s="12"/>
      <c r="F52" s="13"/>
      <c r="G52" s="1"/>
      <c r="H52" s="1"/>
      <c r="I52" s="12"/>
      <c r="J52" s="25"/>
      <c r="K52" s="26"/>
      <c r="N52" s="43"/>
      <c r="P52" s="45"/>
      <c r="Q52" s="43"/>
      <c r="R52" s="42"/>
      <c r="S52" s="45"/>
      <c r="T52" s="43"/>
      <c r="V52" s="45" t="e">
        <f t="shared" si="2"/>
        <v>#DIV/0!</v>
      </c>
      <c r="W52" s="42"/>
      <c r="X52" s="44"/>
    </row>
    <row r="53" spans="1:24" ht="12.75">
      <c r="A53" s="2" t="s">
        <v>36</v>
      </c>
      <c r="B53" s="1"/>
      <c r="C53" s="1"/>
      <c r="D53" s="1"/>
      <c r="E53" s="12"/>
      <c r="F53" s="13"/>
      <c r="G53" s="1"/>
      <c r="H53" s="1"/>
      <c r="I53" s="12"/>
      <c r="J53" s="25"/>
      <c r="K53" s="26"/>
      <c r="N53" s="43"/>
      <c r="P53" s="45"/>
      <c r="Q53" s="43"/>
      <c r="R53" s="42"/>
      <c r="S53" s="45"/>
      <c r="T53" s="43"/>
      <c r="V53" s="45"/>
      <c r="W53" s="42"/>
      <c r="X53" s="44"/>
    </row>
    <row r="54" spans="1:27" s="24" customFormat="1" ht="12.75">
      <c r="A54" s="21" t="s">
        <v>37</v>
      </c>
      <c r="B54" s="22">
        <v>350</v>
      </c>
      <c r="C54" s="22">
        <v>355</v>
      </c>
      <c r="D54" s="22">
        <v>365</v>
      </c>
      <c r="E54" s="13">
        <v>365</v>
      </c>
      <c r="F54" s="13">
        <v>375</v>
      </c>
      <c r="G54" s="22">
        <v>375</v>
      </c>
      <c r="H54" s="22">
        <v>375</v>
      </c>
      <c r="I54" s="13">
        <v>375</v>
      </c>
      <c r="J54" s="25">
        <f>H54/I54</f>
        <v>1</v>
      </c>
      <c r="K54" s="22">
        <v>375</v>
      </c>
      <c r="L54" s="22">
        <v>375</v>
      </c>
      <c r="M54" s="23">
        <f>K54/L54</f>
        <v>1</v>
      </c>
      <c r="N54" s="44">
        <v>0</v>
      </c>
      <c r="O54" s="44">
        <v>375</v>
      </c>
      <c r="P54" s="45">
        <f t="shared" si="13"/>
        <v>0</v>
      </c>
      <c r="Q54" s="44">
        <v>200</v>
      </c>
      <c r="R54" s="44">
        <v>200</v>
      </c>
      <c r="S54" s="45">
        <f t="shared" si="1"/>
        <v>1</v>
      </c>
      <c r="T54" s="42">
        <v>200</v>
      </c>
      <c r="U54" s="44">
        <v>200</v>
      </c>
      <c r="V54" s="45">
        <f t="shared" si="2"/>
        <v>1</v>
      </c>
      <c r="W54" s="44">
        <v>240</v>
      </c>
      <c r="X54" s="44">
        <v>200</v>
      </c>
      <c r="Y54" s="60">
        <f>W54/X54</f>
        <v>1.2</v>
      </c>
      <c r="AA54" s="44">
        <v>250</v>
      </c>
    </row>
    <row r="55" spans="1:27" s="24" customFormat="1" ht="12.75">
      <c r="A55" s="21" t="s">
        <v>38</v>
      </c>
      <c r="B55" s="22">
        <v>250</v>
      </c>
      <c r="C55" s="22">
        <v>207</v>
      </c>
      <c r="D55" s="22">
        <v>232</v>
      </c>
      <c r="E55" s="13">
        <f>32.73+5+5+188.79+15</f>
        <v>246.51999999999998</v>
      </c>
      <c r="F55" s="13">
        <v>240</v>
      </c>
      <c r="G55" s="22">
        <f>186+8+51</f>
        <v>245</v>
      </c>
      <c r="H55" s="22">
        <v>84.62</v>
      </c>
      <c r="I55" s="13">
        <v>250</v>
      </c>
      <c r="J55" s="25">
        <f>H55/I55</f>
        <v>0.33848</v>
      </c>
      <c r="K55" s="22">
        <v>74.49</v>
      </c>
      <c r="L55" s="22">
        <v>150</v>
      </c>
      <c r="M55" s="23">
        <f>K55/L55</f>
        <v>0.4966</v>
      </c>
      <c r="N55" s="44">
        <v>0</v>
      </c>
      <c r="O55" s="44">
        <v>100</v>
      </c>
      <c r="P55" s="45">
        <f t="shared" si="13"/>
        <v>0</v>
      </c>
      <c r="Q55" s="44">
        <v>0.03</v>
      </c>
      <c r="R55" s="44">
        <v>75</v>
      </c>
      <c r="S55" s="45">
        <f t="shared" si="1"/>
        <v>0.00039999999999999996</v>
      </c>
      <c r="T55" s="42">
        <f>0.24+14.15+0.03+0.03</f>
        <v>14.45</v>
      </c>
      <c r="U55" s="44">
        <v>50</v>
      </c>
      <c r="V55" s="45">
        <f t="shared" si="2"/>
        <v>0.289</v>
      </c>
      <c r="W55" s="44">
        <f>2.77</f>
        <v>2.77</v>
      </c>
      <c r="X55" s="44">
        <v>50</v>
      </c>
      <c r="Y55" s="60"/>
      <c r="AA55" s="44">
        <v>50</v>
      </c>
    </row>
    <row r="56" spans="1:27" s="20" customFormat="1" ht="12.75">
      <c r="A56" s="2" t="s">
        <v>39</v>
      </c>
      <c r="B56" s="15">
        <f aca="true" t="shared" si="16" ref="B56:H56">SUM(B54:B55)</f>
        <v>600</v>
      </c>
      <c r="C56" s="15">
        <f t="shared" si="16"/>
        <v>562</v>
      </c>
      <c r="D56" s="15">
        <f t="shared" si="16"/>
        <v>597</v>
      </c>
      <c r="E56" s="15">
        <f t="shared" si="16"/>
        <v>611.52</v>
      </c>
      <c r="F56" s="15">
        <f t="shared" si="16"/>
        <v>615</v>
      </c>
      <c r="G56" s="15">
        <f t="shared" si="16"/>
        <v>620</v>
      </c>
      <c r="H56" s="15">
        <f t="shared" si="16"/>
        <v>459.62</v>
      </c>
      <c r="I56" s="19">
        <f>I54+I55</f>
        <v>625</v>
      </c>
      <c r="J56" s="25">
        <f>H56/I56</f>
        <v>0.735392</v>
      </c>
      <c r="K56" s="26">
        <f>K54+K55</f>
        <v>449.49</v>
      </c>
      <c r="L56" s="15">
        <f>L54+L55</f>
        <v>525</v>
      </c>
      <c r="M56" s="16">
        <f>K56/L56</f>
        <v>0.8561714285714286</v>
      </c>
      <c r="N56" s="43">
        <f>N54+N55</f>
        <v>0</v>
      </c>
      <c r="O56" s="43">
        <f>O54+O55</f>
        <v>475</v>
      </c>
      <c r="P56" s="45">
        <f>N56/O56</f>
        <v>0</v>
      </c>
      <c r="Q56" s="43">
        <f>Q54+Q55</f>
        <v>200.03</v>
      </c>
      <c r="R56" s="43">
        <f>R54+R55</f>
        <v>275</v>
      </c>
      <c r="S56" s="45">
        <f t="shared" si="1"/>
        <v>0.7273818181818182</v>
      </c>
      <c r="T56" s="43">
        <f>T54+T55</f>
        <v>214.45</v>
      </c>
      <c r="U56" s="43">
        <f>SUM(U54:U55)</f>
        <v>250</v>
      </c>
      <c r="V56" s="45">
        <f t="shared" si="2"/>
        <v>0.8578</v>
      </c>
      <c r="W56" s="43">
        <f>W54+W55</f>
        <v>242.77</v>
      </c>
      <c r="X56" s="46">
        <f>SUM(X54:X55)</f>
        <v>250</v>
      </c>
      <c r="Y56" s="45">
        <f>W56/X56</f>
        <v>0.97108</v>
      </c>
      <c r="AA56" s="43">
        <v>300</v>
      </c>
    </row>
    <row r="57" spans="1:24" ht="1.5" customHeight="1">
      <c r="A57" s="18"/>
      <c r="B57" s="1"/>
      <c r="C57" s="1"/>
      <c r="D57" s="1"/>
      <c r="E57" s="12"/>
      <c r="F57" s="13"/>
      <c r="G57" s="1"/>
      <c r="H57" s="1"/>
      <c r="I57" s="12"/>
      <c r="J57" s="25"/>
      <c r="K57" s="26"/>
      <c r="N57" s="43"/>
      <c r="P57" s="45"/>
      <c r="Q57" s="43"/>
      <c r="R57" s="42"/>
      <c r="S57" s="45" t="e">
        <f t="shared" si="1"/>
        <v>#DIV/0!</v>
      </c>
      <c r="T57" s="43"/>
      <c r="V57" s="45" t="e">
        <f t="shared" si="2"/>
        <v>#DIV/0!</v>
      </c>
      <c r="W57" s="42"/>
      <c r="X57" s="44"/>
    </row>
    <row r="58" spans="1:27" s="20" customFormat="1" ht="12.75">
      <c r="A58" s="2" t="s">
        <v>40</v>
      </c>
      <c r="B58" s="15">
        <f aca="true" t="shared" si="17" ref="B58:I58">B20+B25+B30+B34+B38+B44+B51+B56</f>
        <v>32470</v>
      </c>
      <c r="C58" s="15">
        <f t="shared" si="17"/>
        <v>31448</v>
      </c>
      <c r="D58" s="15">
        <f t="shared" si="17"/>
        <v>26584.32</v>
      </c>
      <c r="E58" s="15">
        <f t="shared" si="17"/>
        <v>26320.05</v>
      </c>
      <c r="F58" s="26">
        <f t="shared" si="17"/>
        <v>22415</v>
      </c>
      <c r="G58" s="15">
        <f t="shared" si="17"/>
        <v>19955.28</v>
      </c>
      <c r="H58" s="15">
        <f t="shared" si="17"/>
        <v>16987.77</v>
      </c>
      <c r="I58" s="15">
        <f t="shared" si="17"/>
        <v>21050</v>
      </c>
      <c r="J58" s="16">
        <f>H58/I58</f>
        <v>0.8070199524940618</v>
      </c>
      <c r="K58" s="15">
        <f>K20+K25+K30+K34+K38+K44+K51+K56</f>
        <v>16085.929999999998</v>
      </c>
      <c r="L58" s="15">
        <f>L20+L25+L30+L34+L38+L44+L51+L56</f>
        <v>20126</v>
      </c>
      <c r="M58" s="45">
        <f>K58/L58</f>
        <v>0.799261154725231</v>
      </c>
      <c r="N58" s="15">
        <f>N20+N25+N30+N34+N38+N44+N51+N56</f>
        <v>13143.39</v>
      </c>
      <c r="O58" s="15">
        <f>O20+O25+O30+O34+O38+O44+O51+O56</f>
        <v>16067</v>
      </c>
      <c r="P58" s="15"/>
      <c r="Q58" s="43">
        <f>Q20+Q25+Q30+Q34+Q38+Q44+Q51+Q56</f>
        <v>12694.550000000001</v>
      </c>
      <c r="R58" s="15">
        <f>R20+R25+R30+R34+R38+R44+R51+R56</f>
        <v>18125</v>
      </c>
      <c r="S58" s="45">
        <f t="shared" si="1"/>
        <v>0.7003889655172414</v>
      </c>
      <c r="T58" s="15">
        <f>T20+T25+T30+T34+T38+T44+T51+T56</f>
        <v>8115.3</v>
      </c>
      <c r="U58" s="15">
        <f>U20+U25+U30+U34+U38+U44+U51+U56</f>
        <v>16900</v>
      </c>
      <c r="V58" s="45">
        <f t="shared" si="2"/>
        <v>0.48019526627218934</v>
      </c>
      <c r="W58" s="43">
        <f>W20+W25+W30+W34+W38+W44+W51+W56</f>
        <v>10755.71</v>
      </c>
      <c r="X58" s="26">
        <f>X20+X25+X30+X34+X38+X44+X51+X56</f>
        <v>21500</v>
      </c>
      <c r="Y58" s="15">
        <f>Y20+Y25+Y30+Y34+Y38+Y44+Y51+Y56</f>
        <v>0.97108</v>
      </c>
      <c r="Z58" s="15"/>
      <c r="AA58" s="15">
        <f>AA20+AA25+AA30+AA34+AA38+AA44+AA51+AA56</f>
        <v>16862.5</v>
      </c>
    </row>
    <row r="59" spans="1:27" s="20" customFormat="1" ht="1.5" customHeight="1">
      <c r="A59" s="2"/>
      <c r="B59" s="15"/>
      <c r="C59" s="15"/>
      <c r="D59" s="15"/>
      <c r="E59" s="19"/>
      <c r="F59" s="27"/>
      <c r="G59" s="15"/>
      <c r="H59" s="15"/>
      <c r="I59" s="19"/>
      <c r="J59" s="25"/>
      <c r="K59" s="26"/>
      <c r="L59" s="15"/>
      <c r="M59" s="16"/>
      <c r="N59" s="43"/>
      <c r="O59" s="43"/>
      <c r="P59" s="45"/>
      <c r="Q59" s="43"/>
      <c r="R59" s="43"/>
      <c r="S59" s="45"/>
      <c r="T59" s="43"/>
      <c r="U59" s="43"/>
      <c r="V59" s="43"/>
      <c r="W59" s="43"/>
      <c r="X59" s="46"/>
      <c r="Y59" s="45"/>
      <c r="AA59" s="43"/>
    </row>
    <row r="60" spans="1:27" s="20" customFormat="1" ht="12.75">
      <c r="A60" s="2" t="s">
        <v>41</v>
      </c>
      <c r="B60" s="15">
        <f aca="true" t="shared" si="18" ref="B60:I60">B13-B58</f>
        <v>5930</v>
      </c>
      <c r="C60" s="15">
        <f t="shared" si="18"/>
        <v>-739</v>
      </c>
      <c r="D60" s="15">
        <f t="shared" si="18"/>
        <v>4940.68</v>
      </c>
      <c r="E60" s="15">
        <f t="shared" si="18"/>
        <v>-3144.159999999996</v>
      </c>
      <c r="F60" s="26">
        <f t="shared" si="18"/>
        <v>2485</v>
      </c>
      <c r="G60" s="15">
        <f t="shared" si="18"/>
        <v>4065.920000000002</v>
      </c>
      <c r="H60" s="15">
        <f t="shared" si="18"/>
        <v>4005.540000000001</v>
      </c>
      <c r="I60" s="15">
        <f t="shared" si="18"/>
        <v>580</v>
      </c>
      <c r="J60" s="23"/>
      <c r="K60" s="15">
        <f>K13-K58</f>
        <v>2238.9100000000017</v>
      </c>
      <c r="L60" s="15">
        <f>L13-L58</f>
        <v>574</v>
      </c>
      <c r="M60" s="15"/>
      <c r="N60" s="15">
        <f>N13-N58</f>
        <v>2645.0200000000004</v>
      </c>
      <c r="O60" s="15">
        <f>O13-O58</f>
        <v>33</v>
      </c>
      <c r="P60" s="15"/>
      <c r="Q60" s="43">
        <f>Q13-Q58</f>
        <v>4290.799999999997</v>
      </c>
      <c r="R60" s="15">
        <f>R13-R58</f>
        <v>1175</v>
      </c>
      <c r="S60" s="15"/>
      <c r="T60" s="15">
        <f>T13-T58</f>
        <v>5960.7699999999995</v>
      </c>
      <c r="U60" s="15">
        <f>U13-U58</f>
        <v>-2800</v>
      </c>
      <c r="V60" s="15"/>
      <c r="W60" s="43">
        <f>W13-W58</f>
        <v>759.4200000000019</v>
      </c>
      <c r="X60" s="26">
        <f>X13-X58</f>
        <v>-8680</v>
      </c>
      <c r="Y60" s="15">
        <f>Y13-Y58</f>
        <v>-0.07286393135725422</v>
      </c>
      <c r="Z60" s="15"/>
      <c r="AA60" s="15">
        <f>AA13-AA58</f>
        <v>-6162.5</v>
      </c>
    </row>
    <row r="61" spans="1:27" s="20" customFormat="1" ht="3.75" customHeight="1">
      <c r="A61" s="2"/>
      <c r="B61" s="15"/>
      <c r="C61" s="15"/>
      <c r="D61" s="15"/>
      <c r="E61" s="15"/>
      <c r="F61" s="27"/>
      <c r="G61" s="15"/>
      <c r="H61" s="15"/>
      <c r="I61" s="19"/>
      <c r="J61" s="25"/>
      <c r="K61" s="26"/>
      <c r="L61" s="15"/>
      <c r="M61" s="16"/>
      <c r="N61" s="43"/>
      <c r="O61" s="43"/>
      <c r="P61" s="45"/>
      <c r="Q61" s="43"/>
      <c r="R61" s="43"/>
      <c r="S61" s="45"/>
      <c r="T61" s="43"/>
      <c r="U61" s="43"/>
      <c r="W61" s="2"/>
      <c r="X61" s="62"/>
      <c r="Y61" s="2"/>
      <c r="Z61" s="2"/>
      <c r="AA61" s="2"/>
    </row>
    <row r="62" spans="2:27" s="20" customFormat="1" ht="12.75">
      <c r="B62" s="28"/>
      <c r="C62" s="28"/>
      <c r="D62" s="28"/>
      <c r="E62" s="29"/>
      <c r="F62" s="30"/>
      <c r="G62" s="28"/>
      <c r="H62" s="28"/>
      <c r="I62" s="29"/>
      <c r="J62" s="31"/>
      <c r="K62" s="28"/>
      <c r="L62" s="15"/>
      <c r="M62" s="16"/>
      <c r="N62" s="16"/>
      <c r="O62" s="43"/>
      <c r="P62" s="45"/>
      <c r="Q62" s="43"/>
      <c r="R62" s="2"/>
      <c r="S62" s="45"/>
      <c r="T62" s="45"/>
      <c r="U62" s="43"/>
      <c r="W62" s="2"/>
      <c r="X62" s="62"/>
      <c r="Y62" s="45"/>
      <c r="AA62" s="43"/>
    </row>
    <row r="63" spans="1:27" s="20" customFormat="1" ht="12.75">
      <c r="A63" s="32" t="s">
        <v>62</v>
      </c>
      <c r="B63" s="28"/>
      <c r="C63" s="28"/>
      <c r="D63" s="28"/>
      <c r="E63" s="29"/>
      <c r="F63" s="30"/>
      <c r="G63" s="28"/>
      <c r="H63" s="28"/>
      <c r="I63" s="29"/>
      <c r="J63" s="31"/>
      <c r="K63" s="28"/>
      <c r="L63" s="15"/>
      <c r="M63" s="16"/>
      <c r="N63" s="16"/>
      <c r="O63" s="43"/>
      <c r="P63" s="45"/>
      <c r="Q63" s="43"/>
      <c r="R63" s="2"/>
      <c r="S63" s="45"/>
      <c r="T63" s="45"/>
      <c r="U63" s="43"/>
      <c r="W63" s="2"/>
      <c r="X63" s="62"/>
      <c r="Y63" s="45"/>
      <c r="AA63" s="43"/>
    </row>
    <row r="64" spans="1:27" s="20" customFormat="1" ht="12.75">
      <c r="A64" s="32"/>
      <c r="B64" s="28"/>
      <c r="C64" s="28"/>
      <c r="D64" s="28"/>
      <c r="E64" s="29"/>
      <c r="F64" s="30"/>
      <c r="G64" s="28"/>
      <c r="H64" s="28"/>
      <c r="I64" s="29"/>
      <c r="J64" s="31"/>
      <c r="K64" s="28"/>
      <c r="L64" s="15"/>
      <c r="M64" s="16"/>
      <c r="N64" s="16"/>
      <c r="O64" s="43"/>
      <c r="P64" s="45"/>
      <c r="Q64" s="43"/>
      <c r="R64" s="2"/>
      <c r="S64" s="45"/>
      <c r="T64" s="45"/>
      <c r="U64" s="43"/>
      <c r="W64" s="2"/>
      <c r="X64" s="62"/>
      <c r="Y64" s="45"/>
      <c r="AA64" s="43"/>
    </row>
    <row r="65" spans="1:27" s="20" customFormat="1" ht="12.75">
      <c r="A65" s="24"/>
      <c r="B65" s="28"/>
      <c r="C65" s="28"/>
      <c r="D65" s="28"/>
      <c r="E65" s="29"/>
      <c r="F65" s="30"/>
      <c r="G65" s="28"/>
      <c r="H65" s="28"/>
      <c r="I65" s="29"/>
      <c r="J65" s="31"/>
      <c r="K65" s="28"/>
      <c r="L65" s="15"/>
      <c r="M65" s="16"/>
      <c r="N65" s="16"/>
      <c r="O65" s="43"/>
      <c r="P65" s="45"/>
      <c r="Q65" s="43"/>
      <c r="R65" s="2"/>
      <c r="S65" s="45"/>
      <c r="T65" s="45"/>
      <c r="U65" s="43"/>
      <c r="W65" s="2"/>
      <c r="X65" s="62"/>
      <c r="Y65" s="45"/>
      <c r="AA65" s="43"/>
    </row>
    <row r="66" spans="1:27" s="20" customFormat="1" ht="12.75">
      <c r="A66" s="24"/>
      <c r="B66" s="28"/>
      <c r="C66" s="28"/>
      <c r="D66" s="28"/>
      <c r="E66" s="29"/>
      <c r="F66" s="30"/>
      <c r="G66" s="28"/>
      <c r="H66" s="28"/>
      <c r="I66" s="29"/>
      <c r="J66" s="31"/>
      <c r="K66" s="28"/>
      <c r="L66" s="15"/>
      <c r="M66" s="16"/>
      <c r="N66" s="16"/>
      <c r="O66" s="43"/>
      <c r="P66" s="45"/>
      <c r="Q66" s="43"/>
      <c r="R66" s="2"/>
      <c r="S66" s="45"/>
      <c r="T66" s="45"/>
      <c r="U66" s="43"/>
      <c r="W66" s="2"/>
      <c r="X66" s="62"/>
      <c r="Y66" s="45"/>
      <c r="AA66" s="43"/>
    </row>
    <row r="67" spans="1:27" s="20" customFormat="1" ht="12.75">
      <c r="A67" s="24"/>
      <c r="B67" s="33"/>
      <c r="C67" s="28"/>
      <c r="D67" s="28"/>
      <c r="E67" s="29"/>
      <c r="F67" s="30"/>
      <c r="G67" s="28"/>
      <c r="H67" s="28"/>
      <c r="I67" s="29"/>
      <c r="J67" s="31"/>
      <c r="K67" s="28"/>
      <c r="L67" s="15"/>
      <c r="M67" s="16"/>
      <c r="N67" s="16"/>
      <c r="O67" s="43"/>
      <c r="P67" s="45"/>
      <c r="Q67" s="43"/>
      <c r="R67" s="2"/>
      <c r="S67" s="45"/>
      <c r="T67" s="45"/>
      <c r="U67" s="43"/>
      <c r="W67" s="2"/>
      <c r="X67" s="62"/>
      <c r="Y67" s="45"/>
      <c r="AA67" s="43"/>
    </row>
    <row r="68" spans="1:27" s="20" customFormat="1" ht="12.75">
      <c r="A68" s="32"/>
      <c r="B68" s="33"/>
      <c r="C68" s="28"/>
      <c r="D68" s="28"/>
      <c r="E68" s="29"/>
      <c r="F68" s="30"/>
      <c r="G68" s="28"/>
      <c r="H68" s="28"/>
      <c r="I68" s="29"/>
      <c r="J68" s="31"/>
      <c r="K68" s="28"/>
      <c r="L68" s="15"/>
      <c r="M68" s="16"/>
      <c r="N68" s="16"/>
      <c r="O68" s="43"/>
      <c r="P68" s="45"/>
      <c r="Q68" s="43"/>
      <c r="R68" s="2"/>
      <c r="S68" s="45"/>
      <c r="T68" s="45"/>
      <c r="U68" s="43"/>
      <c r="W68" s="2"/>
      <c r="X68" s="62"/>
      <c r="Y68" s="45"/>
      <c r="AA68" s="43"/>
    </row>
    <row r="69" spans="1:27" s="28" customFormat="1" ht="12.75">
      <c r="A69" s="20"/>
      <c r="F69" s="30"/>
      <c r="I69" s="29"/>
      <c r="J69" s="31"/>
      <c r="L69" s="15"/>
      <c r="M69" s="16"/>
      <c r="N69" s="16"/>
      <c r="O69" s="43"/>
      <c r="P69" s="45"/>
      <c r="Q69" s="43"/>
      <c r="R69" s="15"/>
      <c r="S69" s="45"/>
      <c r="T69" s="45"/>
      <c r="U69" s="43"/>
      <c r="W69" s="15"/>
      <c r="X69" s="26"/>
      <c r="Y69" s="45"/>
      <c r="AA69" s="43"/>
    </row>
    <row r="70" spans="1:27" s="28" customFormat="1" ht="12.75">
      <c r="A70" s="20"/>
      <c r="F70" s="30"/>
      <c r="I70" s="29"/>
      <c r="J70" s="31"/>
      <c r="L70" s="15"/>
      <c r="M70" s="16"/>
      <c r="N70" s="16"/>
      <c r="O70" s="43"/>
      <c r="P70" s="45"/>
      <c r="Q70" s="43"/>
      <c r="R70" s="15"/>
      <c r="S70" s="45"/>
      <c r="T70" s="45"/>
      <c r="U70" s="43"/>
      <c r="W70" s="15"/>
      <c r="X70" s="26"/>
      <c r="Y70" s="45"/>
      <c r="AA70" s="43"/>
    </row>
    <row r="71" spans="1:27" s="28" customFormat="1" ht="12.75">
      <c r="A71" s="20"/>
      <c r="B71" s="28" t="s">
        <v>42</v>
      </c>
      <c r="F71" s="30"/>
      <c r="I71" s="29"/>
      <c r="J71" s="31"/>
      <c r="L71" s="15"/>
      <c r="M71" s="16"/>
      <c r="N71" s="16"/>
      <c r="O71" s="43"/>
      <c r="P71" s="45"/>
      <c r="Q71" s="43"/>
      <c r="R71" s="15"/>
      <c r="S71" s="45"/>
      <c r="T71" s="45"/>
      <c r="U71" s="43"/>
      <c r="W71" s="15"/>
      <c r="X71" s="26"/>
      <c r="Y71" s="45"/>
      <c r="AA71" s="43"/>
    </row>
    <row r="72" spans="1:27" s="28" customFormat="1" ht="12.75">
      <c r="A72" s="34"/>
      <c r="B72" s="28">
        <v>10936</v>
      </c>
      <c r="F72" s="30"/>
      <c r="I72" s="29"/>
      <c r="J72" s="31"/>
      <c r="L72" s="15"/>
      <c r="M72" s="16"/>
      <c r="N72" s="16"/>
      <c r="O72" s="43"/>
      <c r="P72" s="45"/>
      <c r="Q72" s="43"/>
      <c r="R72" s="15"/>
      <c r="S72" s="45"/>
      <c r="T72" s="45"/>
      <c r="U72" s="43"/>
      <c r="W72" s="15"/>
      <c r="X72" s="26"/>
      <c r="Y72" s="45"/>
      <c r="AA72" s="43"/>
    </row>
    <row r="73" spans="1:27" s="28" customFormat="1" ht="12.75">
      <c r="A73" s="20"/>
      <c r="B73" s="28">
        <v>10224</v>
      </c>
      <c r="F73" s="30"/>
      <c r="I73" s="29"/>
      <c r="J73" s="31"/>
      <c r="L73" s="15"/>
      <c r="M73" s="16"/>
      <c r="N73" s="16"/>
      <c r="O73" s="43"/>
      <c r="P73" s="45"/>
      <c r="Q73" s="43"/>
      <c r="R73" s="15"/>
      <c r="S73" s="45"/>
      <c r="T73" s="45"/>
      <c r="U73" s="43"/>
      <c r="W73" s="15"/>
      <c r="X73" s="26"/>
      <c r="Y73" s="45"/>
      <c r="AA73" s="43"/>
    </row>
    <row r="74" spans="1:27" s="28" customFormat="1" ht="12.75">
      <c r="A74" s="20"/>
      <c r="B74" s="28">
        <v>1023</v>
      </c>
      <c r="F74" s="30"/>
      <c r="I74" s="29"/>
      <c r="J74" s="31"/>
      <c r="L74" s="15"/>
      <c r="M74" s="16"/>
      <c r="N74" s="16"/>
      <c r="O74" s="43"/>
      <c r="P74" s="45"/>
      <c r="Q74" s="43"/>
      <c r="R74" s="15"/>
      <c r="S74" s="45"/>
      <c r="T74" s="45"/>
      <c r="U74" s="43"/>
      <c r="W74" s="15"/>
      <c r="X74" s="26"/>
      <c r="Y74" s="45"/>
      <c r="AA74" s="43"/>
    </row>
    <row r="75" spans="1:27" s="28" customFormat="1" ht="12.75">
      <c r="A75" s="20"/>
      <c r="F75" s="30"/>
      <c r="I75" s="29"/>
      <c r="J75" s="31"/>
      <c r="L75" s="15"/>
      <c r="M75" s="16"/>
      <c r="N75" s="16"/>
      <c r="O75" s="43"/>
      <c r="P75" s="45"/>
      <c r="Q75" s="43"/>
      <c r="R75" s="15"/>
      <c r="S75" s="45"/>
      <c r="T75" s="45"/>
      <c r="U75" s="43"/>
      <c r="W75" s="15"/>
      <c r="X75" s="26"/>
      <c r="Y75" s="45"/>
      <c r="AA75" s="43"/>
    </row>
    <row r="76" spans="1:27" s="28" customFormat="1" ht="12.75">
      <c r="A76" s="20"/>
      <c r="B76" s="28">
        <f>B73+B74-B72</f>
        <v>311</v>
      </c>
      <c r="F76" s="30"/>
      <c r="I76" s="29"/>
      <c r="J76" s="31"/>
      <c r="L76" s="15"/>
      <c r="M76" s="16"/>
      <c r="N76" s="16"/>
      <c r="O76" s="43"/>
      <c r="P76" s="45"/>
      <c r="Q76" s="43"/>
      <c r="R76" s="15"/>
      <c r="S76" s="45"/>
      <c r="T76" s="45"/>
      <c r="U76" s="43"/>
      <c r="W76" s="15"/>
      <c r="X76" s="26"/>
      <c r="Y76" s="45"/>
      <c r="AA76" s="43"/>
    </row>
    <row r="77" spans="1:27" s="28" customFormat="1" ht="12.75">
      <c r="A77" s="20"/>
      <c r="B77" s="28">
        <v>262</v>
      </c>
      <c r="F77" s="30"/>
      <c r="I77" s="29"/>
      <c r="J77" s="31"/>
      <c r="L77" s="15"/>
      <c r="M77" s="16"/>
      <c r="N77" s="16"/>
      <c r="O77" s="43"/>
      <c r="P77" s="45"/>
      <c r="Q77" s="43"/>
      <c r="R77" s="15"/>
      <c r="S77" s="45"/>
      <c r="T77" s="45"/>
      <c r="U77" s="43"/>
      <c r="W77" s="15"/>
      <c r="X77" s="26"/>
      <c r="Y77" s="45"/>
      <c r="AA77" s="43"/>
    </row>
    <row r="78" spans="1:27" s="28" customFormat="1" ht="12.75">
      <c r="A78" s="20"/>
      <c r="B78" s="28">
        <f>B76-B77</f>
        <v>49</v>
      </c>
      <c r="F78" s="30"/>
      <c r="I78" s="29"/>
      <c r="J78" s="31"/>
      <c r="L78" s="15"/>
      <c r="M78" s="16"/>
      <c r="N78" s="16"/>
      <c r="O78" s="43"/>
      <c r="P78" s="45"/>
      <c r="Q78" s="43"/>
      <c r="R78" s="15"/>
      <c r="S78" s="45"/>
      <c r="T78" s="45"/>
      <c r="U78" s="43"/>
      <c r="W78" s="15"/>
      <c r="X78" s="26"/>
      <c r="Y78" s="45"/>
      <c r="AA78" s="43"/>
    </row>
    <row r="79" spans="1:27" s="28" customFormat="1" ht="12.75">
      <c r="A79" s="20"/>
      <c r="F79" s="30"/>
      <c r="I79" s="29"/>
      <c r="J79" s="31"/>
      <c r="L79" s="15"/>
      <c r="M79" s="16"/>
      <c r="N79" s="16"/>
      <c r="O79" s="43"/>
      <c r="P79" s="45"/>
      <c r="Q79" s="43"/>
      <c r="R79" s="15"/>
      <c r="S79" s="45"/>
      <c r="T79" s="45"/>
      <c r="U79" s="43"/>
      <c r="W79" s="15"/>
      <c r="X79" s="26"/>
      <c r="Y79" s="45"/>
      <c r="AA79" s="43"/>
    </row>
    <row r="80" spans="1:27" s="28" customFormat="1" ht="12.75">
      <c r="A80" s="20"/>
      <c r="B80" s="28">
        <v>34</v>
      </c>
      <c r="F80" s="30"/>
      <c r="I80" s="29"/>
      <c r="J80" s="31"/>
      <c r="L80" s="15"/>
      <c r="M80" s="16"/>
      <c r="N80" s="16"/>
      <c r="O80" s="43"/>
      <c r="P80" s="45"/>
      <c r="Q80" s="43"/>
      <c r="R80" s="15"/>
      <c r="S80" s="45"/>
      <c r="T80" s="45"/>
      <c r="U80" s="43"/>
      <c r="W80" s="15"/>
      <c r="X80" s="26"/>
      <c r="Y80" s="45"/>
      <c r="AA80" s="43"/>
    </row>
    <row r="81" spans="1:27" s="28" customFormat="1" ht="12.75">
      <c r="A81" s="20"/>
      <c r="B81" s="28">
        <v>15</v>
      </c>
      <c r="F81" s="30"/>
      <c r="I81" s="29"/>
      <c r="J81" s="31"/>
      <c r="L81" s="15"/>
      <c r="M81" s="16"/>
      <c r="N81" s="16"/>
      <c r="O81" s="43"/>
      <c r="P81" s="45"/>
      <c r="Q81" s="43"/>
      <c r="R81" s="15"/>
      <c r="S81" s="45"/>
      <c r="T81" s="45"/>
      <c r="U81" s="43"/>
      <c r="W81" s="15"/>
      <c r="X81" s="26"/>
      <c r="Y81" s="45"/>
      <c r="AA81" s="43"/>
    </row>
    <row r="82" spans="1:27" s="28" customFormat="1" ht="12.75">
      <c r="A82" s="20"/>
      <c r="F82" s="30"/>
      <c r="I82" s="29"/>
      <c r="J82" s="31"/>
      <c r="L82" s="15"/>
      <c r="M82" s="16"/>
      <c r="N82" s="16"/>
      <c r="O82" s="43"/>
      <c r="P82" s="45"/>
      <c r="Q82" s="43"/>
      <c r="R82" s="15"/>
      <c r="S82" s="45"/>
      <c r="T82" s="45"/>
      <c r="U82" s="43"/>
      <c r="W82" s="15"/>
      <c r="X82" s="26"/>
      <c r="Y82" s="45"/>
      <c r="AA82" s="43"/>
    </row>
    <row r="83" spans="1:27" s="28" customFormat="1" ht="12.75">
      <c r="A83" s="20"/>
      <c r="B83" s="28">
        <v>0</v>
      </c>
      <c r="F83" s="30"/>
      <c r="I83" s="29"/>
      <c r="J83" s="31"/>
      <c r="L83" s="15"/>
      <c r="M83" s="16"/>
      <c r="N83" s="16"/>
      <c r="O83" s="43"/>
      <c r="P83" s="45"/>
      <c r="Q83" s="43"/>
      <c r="R83" s="15"/>
      <c r="S83" s="45"/>
      <c r="T83" s="45"/>
      <c r="U83" s="43"/>
      <c r="W83" s="15"/>
      <c r="X83" s="26"/>
      <c r="Y83" s="45"/>
      <c r="AA83" s="43"/>
    </row>
    <row r="84" spans="1:27" s="28" customFormat="1" ht="12.75">
      <c r="A84" s="20"/>
      <c r="F84" s="30"/>
      <c r="I84" s="29"/>
      <c r="J84" s="31"/>
      <c r="L84" s="15"/>
      <c r="M84" s="16"/>
      <c r="N84" s="16"/>
      <c r="O84" s="43"/>
      <c r="P84" s="45"/>
      <c r="Q84" s="43"/>
      <c r="R84" s="15"/>
      <c r="S84" s="45"/>
      <c r="T84" s="45"/>
      <c r="U84" s="43"/>
      <c r="W84" s="15"/>
      <c r="X84" s="26"/>
      <c r="Y84" s="45"/>
      <c r="AA84" s="43"/>
    </row>
    <row r="85" spans="1:27" s="28" customFormat="1" ht="12.75">
      <c r="A85" s="20"/>
      <c r="F85" s="30"/>
      <c r="I85" s="29"/>
      <c r="J85" s="31"/>
      <c r="L85" s="15"/>
      <c r="M85" s="16"/>
      <c r="N85" s="16"/>
      <c r="O85" s="43"/>
      <c r="P85" s="45"/>
      <c r="Q85" s="43"/>
      <c r="R85" s="15"/>
      <c r="S85" s="45"/>
      <c r="T85" s="45"/>
      <c r="U85" s="43"/>
      <c r="W85" s="15"/>
      <c r="X85" s="26"/>
      <c r="Y85" s="45"/>
      <c r="AA85" s="43"/>
    </row>
    <row r="86" spans="2:27" s="20" customFormat="1" ht="12.75">
      <c r="B86" s="28"/>
      <c r="C86" s="28"/>
      <c r="D86" s="28"/>
      <c r="E86" s="29"/>
      <c r="F86" s="30"/>
      <c r="G86" s="28"/>
      <c r="H86" s="28"/>
      <c r="I86" s="29"/>
      <c r="J86" s="31"/>
      <c r="K86" s="28"/>
      <c r="L86" s="15"/>
      <c r="M86" s="16"/>
      <c r="N86" s="16"/>
      <c r="O86" s="43"/>
      <c r="P86" s="45"/>
      <c r="Q86" s="43"/>
      <c r="R86" s="2"/>
      <c r="S86" s="45"/>
      <c r="T86" s="45"/>
      <c r="U86" s="43"/>
      <c r="W86" s="2"/>
      <c r="X86" s="62"/>
      <c r="Y86" s="45"/>
      <c r="AA86" s="43"/>
    </row>
    <row r="87" spans="2:27" s="20" customFormat="1" ht="12.75">
      <c r="B87" s="28"/>
      <c r="C87" s="28"/>
      <c r="D87" s="28"/>
      <c r="E87" s="29"/>
      <c r="F87" s="30"/>
      <c r="G87" s="28"/>
      <c r="H87" s="28"/>
      <c r="I87" s="29"/>
      <c r="J87" s="31"/>
      <c r="K87" s="28"/>
      <c r="L87" s="15"/>
      <c r="M87" s="16"/>
      <c r="N87" s="16"/>
      <c r="O87" s="43"/>
      <c r="P87" s="45"/>
      <c r="Q87" s="43"/>
      <c r="R87" s="2"/>
      <c r="S87" s="45"/>
      <c r="T87" s="45"/>
      <c r="U87" s="43"/>
      <c r="W87" s="2"/>
      <c r="X87" s="62"/>
      <c r="Y87" s="45"/>
      <c r="AA87" s="43"/>
    </row>
    <row r="88" spans="2:27" s="20" customFormat="1" ht="12.75">
      <c r="B88" s="28"/>
      <c r="C88" s="28"/>
      <c r="D88" s="28"/>
      <c r="E88" s="29"/>
      <c r="F88" s="30"/>
      <c r="G88" s="28"/>
      <c r="H88" s="28"/>
      <c r="I88" s="29"/>
      <c r="J88" s="31"/>
      <c r="K88" s="28"/>
      <c r="L88" s="15"/>
      <c r="M88" s="16"/>
      <c r="N88" s="16"/>
      <c r="O88" s="43"/>
      <c r="P88" s="45"/>
      <c r="Q88" s="43"/>
      <c r="R88" s="2"/>
      <c r="S88" s="45"/>
      <c r="T88" s="45"/>
      <c r="U88" s="43"/>
      <c r="W88" s="2"/>
      <c r="X88" s="62"/>
      <c r="Y88" s="45"/>
      <c r="AA88" s="43"/>
    </row>
    <row r="89" spans="2:27" s="20" customFormat="1" ht="12.75">
      <c r="B89" s="28"/>
      <c r="C89" s="28"/>
      <c r="D89" s="28"/>
      <c r="E89" s="29"/>
      <c r="F89" s="30"/>
      <c r="G89" s="28"/>
      <c r="H89" s="28"/>
      <c r="I89" s="29"/>
      <c r="J89" s="31"/>
      <c r="K89" s="28"/>
      <c r="L89" s="15"/>
      <c r="M89" s="16"/>
      <c r="N89" s="16"/>
      <c r="O89" s="43"/>
      <c r="P89" s="45"/>
      <c r="Q89" s="43"/>
      <c r="R89" s="2"/>
      <c r="S89" s="45"/>
      <c r="T89" s="45"/>
      <c r="U89" s="43"/>
      <c r="W89" s="2"/>
      <c r="X89" s="62"/>
      <c r="Y89" s="45"/>
      <c r="AA89" s="43"/>
    </row>
    <row r="90" spans="2:27" s="20" customFormat="1" ht="12.75">
      <c r="B90" s="28"/>
      <c r="C90" s="28"/>
      <c r="D90" s="28"/>
      <c r="E90" s="29"/>
      <c r="F90" s="30"/>
      <c r="G90" s="28"/>
      <c r="H90" s="28"/>
      <c r="I90" s="29"/>
      <c r="J90" s="31"/>
      <c r="K90" s="28"/>
      <c r="L90" s="15"/>
      <c r="M90" s="16"/>
      <c r="N90" s="16"/>
      <c r="O90" s="43"/>
      <c r="P90" s="45"/>
      <c r="Q90" s="43"/>
      <c r="R90" s="2"/>
      <c r="S90" s="45"/>
      <c r="T90" s="45"/>
      <c r="U90" s="43"/>
      <c r="W90" s="2"/>
      <c r="X90" s="62"/>
      <c r="Y90" s="45"/>
      <c r="AA90" s="43"/>
    </row>
    <row r="91" spans="2:27" s="20" customFormat="1" ht="12.75">
      <c r="B91" s="28"/>
      <c r="C91" s="28"/>
      <c r="D91" s="28"/>
      <c r="E91" s="29"/>
      <c r="F91" s="30"/>
      <c r="G91" s="28"/>
      <c r="H91" s="28"/>
      <c r="I91" s="29"/>
      <c r="J91" s="31"/>
      <c r="K91" s="28"/>
      <c r="L91" s="15"/>
      <c r="M91" s="16"/>
      <c r="N91" s="16"/>
      <c r="O91" s="43"/>
      <c r="P91" s="45"/>
      <c r="Q91" s="43"/>
      <c r="R91" s="2"/>
      <c r="S91" s="45"/>
      <c r="T91" s="45"/>
      <c r="U91" s="43"/>
      <c r="W91" s="2"/>
      <c r="X91" s="62"/>
      <c r="Y91" s="45"/>
      <c r="AA91" s="43"/>
    </row>
    <row r="92" spans="2:27" s="20" customFormat="1" ht="12.75">
      <c r="B92" s="28"/>
      <c r="C92" s="28"/>
      <c r="D92" s="28"/>
      <c r="E92" s="29"/>
      <c r="F92" s="30"/>
      <c r="G92" s="28"/>
      <c r="H92" s="28"/>
      <c r="I92" s="29"/>
      <c r="J92" s="31"/>
      <c r="K92" s="28"/>
      <c r="L92" s="15"/>
      <c r="M92" s="16"/>
      <c r="N92" s="16"/>
      <c r="O92" s="43"/>
      <c r="P92" s="45"/>
      <c r="Q92" s="43"/>
      <c r="R92" s="2"/>
      <c r="S92" s="45"/>
      <c r="T92" s="45"/>
      <c r="U92" s="43"/>
      <c r="W92" s="2"/>
      <c r="X92" s="62"/>
      <c r="Y92" s="45"/>
      <c r="AA92" s="43"/>
    </row>
    <row r="93" spans="2:27" s="20" customFormat="1" ht="12.75">
      <c r="B93" s="28"/>
      <c r="C93" s="28"/>
      <c r="D93" s="28"/>
      <c r="E93" s="29"/>
      <c r="F93" s="30"/>
      <c r="G93" s="28"/>
      <c r="H93" s="28"/>
      <c r="I93" s="29"/>
      <c r="J93" s="31"/>
      <c r="K93" s="28"/>
      <c r="L93" s="15"/>
      <c r="M93" s="16"/>
      <c r="N93" s="16"/>
      <c r="O93" s="43"/>
      <c r="P93" s="45"/>
      <c r="Q93" s="43"/>
      <c r="R93" s="2"/>
      <c r="S93" s="45"/>
      <c r="T93" s="45"/>
      <c r="U93" s="43"/>
      <c r="W93" s="2"/>
      <c r="X93" s="62"/>
      <c r="Y93" s="45"/>
      <c r="AA93" s="43"/>
    </row>
    <row r="94" spans="2:27" s="20" customFormat="1" ht="12.75">
      <c r="B94" s="28"/>
      <c r="C94" s="28"/>
      <c r="D94" s="28"/>
      <c r="E94" s="29"/>
      <c r="F94" s="30"/>
      <c r="G94" s="28"/>
      <c r="H94" s="28"/>
      <c r="I94" s="29"/>
      <c r="J94" s="31"/>
      <c r="K94" s="28"/>
      <c r="L94" s="15"/>
      <c r="M94" s="16"/>
      <c r="N94" s="16"/>
      <c r="O94" s="43"/>
      <c r="P94" s="45"/>
      <c r="Q94" s="43"/>
      <c r="R94" s="2"/>
      <c r="S94" s="45"/>
      <c r="T94" s="45"/>
      <c r="U94" s="43"/>
      <c r="W94" s="2"/>
      <c r="X94" s="62"/>
      <c r="Y94" s="45"/>
      <c r="AA94" s="43"/>
    </row>
    <row r="95" spans="2:27" s="20" customFormat="1" ht="12.75">
      <c r="B95" s="28">
        <v>0</v>
      </c>
      <c r="C95" s="28"/>
      <c r="D95" s="28"/>
      <c r="E95" s="29"/>
      <c r="F95" s="30"/>
      <c r="G95" s="28"/>
      <c r="H95" s="28"/>
      <c r="I95" s="29"/>
      <c r="J95" s="31"/>
      <c r="K95" s="28"/>
      <c r="L95" s="15"/>
      <c r="M95" s="16"/>
      <c r="N95" s="16"/>
      <c r="O95" s="43"/>
      <c r="P95" s="45"/>
      <c r="Q95" s="43"/>
      <c r="R95" s="2"/>
      <c r="S95" s="45"/>
      <c r="T95" s="45"/>
      <c r="U95" s="43"/>
      <c r="W95" s="2"/>
      <c r="X95" s="62"/>
      <c r="Y95" s="45"/>
      <c r="AA95" s="43"/>
    </row>
    <row r="96" spans="2:27" s="20" customFormat="1" ht="12.75">
      <c r="B96" s="28"/>
      <c r="C96" s="28"/>
      <c r="D96" s="28"/>
      <c r="E96" s="29"/>
      <c r="F96" s="30"/>
      <c r="G96" s="28"/>
      <c r="H96" s="28"/>
      <c r="I96" s="29"/>
      <c r="J96" s="31"/>
      <c r="K96" s="28"/>
      <c r="L96" s="15"/>
      <c r="M96" s="16"/>
      <c r="N96" s="16"/>
      <c r="O96" s="43"/>
      <c r="P96" s="45"/>
      <c r="Q96" s="43"/>
      <c r="R96" s="2"/>
      <c r="S96" s="45"/>
      <c r="T96" s="45"/>
      <c r="U96" s="43"/>
      <c r="W96" s="2"/>
      <c r="X96" s="62"/>
      <c r="Y96" s="45"/>
      <c r="AA96" s="43"/>
    </row>
    <row r="97" spans="2:27" s="20" customFormat="1" ht="12.75">
      <c r="B97" s="28"/>
      <c r="C97" s="28"/>
      <c r="D97" s="28"/>
      <c r="E97" s="29"/>
      <c r="F97" s="30"/>
      <c r="G97" s="28"/>
      <c r="H97" s="28"/>
      <c r="I97" s="29"/>
      <c r="J97" s="31"/>
      <c r="K97" s="28"/>
      <c r="L97" s="15"/>
      <c r="M97" s="16"/>
      <c r="N97" s="16"/>
      <c r="O97" s="43"/>
      <c r="P97" s="45"/>
      <c r="Q97" s="43"/>
      <c r="R97" s="2"/>
      <c r="S97" s="45"/>
      <c r="T97" s="45"/>
      <c r="U97" s="43"/>
      <c r="W97" s="2"/>
      <c r="X97" s="62"/>
      <c r="Y97" s="45"/>
      <c r="AA97" s="43"/>
    </row>
    <row r="98" spans="2:27" s="20" customFormat="1" ht="12.75">
      <c r="B98" s="28"/>
      <c r="C98" s="28"/>
      <c r="D98" s="28"/>
      <c r="E98" s="29"/>
      <c r="F98" s="30"/>
      <c r="G98" s="28"/>
      <c r="H98" s="28"/>
      <c r="I98" s="29"/>
      <c r="J98" s="31"/>
      <c r="K98" s="28"/>
      <c r="L98" s="15"/>
      <c r="M98" s="16"/>
      <c r="N98" s="16"/>
      <c r="O98" s="43"/>
      <c r="P98" s="45"/>
      <c r="Q98" s="43"/>
      <c r="R98" s="2"/>
      <c r="S98" s="45"/>
      <c r="T98" s="45"/>
      <c r="U98" s="43"/>
      <c r="W98" s="2"/>
      <c r="X98" s="62"/>
      <c r="Y98" s="45"/>
      <c r="AA98" s="43"/>
    </row>
    <row r="99" spans="2:27" s="20" customFormat="1" ht="12.75">
      <c r="B99" s="28"/>
      <c r="C99" s="28"/>
      <c r="D99" s="28"/>
      <c r="E99" s="29"/>
      <c r="F99" s="30"/>
      <c r="G99" s="28"/>
      <c r="H99" s="28"/>
      <c r="I99" s="29"/>
      <c r="J99" s="31"/>
      <c r="K99" s="28"/>
      <c r="L99" s="15"/>
      <c r="M99" s="16"/>
      <c r="N99" s="16"/>
      <c r="O99" s="43"/>
      <c r="P99" s="45"/>
      <c r="Q99" s="43"/>
      <c r="R99" s="2"/>
      <c r="S99" s="45"/>
      <c r="T99" s="45"/>
      <c r="U99" s="43"/>
      <c r="W99" s="2"/>
      <c r="X99" s="62"/>
      <c r="Y99" s="45"/>
      <c r="AA99" s="43"/>
    </row>
    <row r="100" spans="1:3" ht="12.75">
      <c r="A100" s="32"/>
      <c r="B100" s="35" t="s">
        <v>43</v>
      </c>
      <c r="C100" s="35" t="s">
        <v>44</v>
      </c>
    </row>
    <row r="101" spans="1:2" ht="12.75">
      <c r="A101" s="20"/>
      <c r="B101" s="28" t="s">
        <v>45</v>
      </c>
    </row>
    <row r="102" spans="2:3" ht="12.75">
      <c r="B102" s="28" t="s">
        <v>46</v>
      </c>
      <c r="C102" s="28" t="s">
        <v>46</v>
      </c>
    </row>
    <row r="103" spans="2:3" ht="12.75">
      <c r="B103" s="28" t="s">
        <v>47</v>
      </c>
      <c r="C103" s="28" t="s">
        <v>47</v>
      </c>
    </row>
    <row r="104" spans="2:3" ht="12.75">
      <c r="B104" s="28" t="s">
        <v>47</v>
      </c>
      <c r="C104" s="28" t="s">
        <v>47</v>
      </c>
    </row>
    <row r="105" spans="2:3" ht="12.75">
      <c r="B105" s="28" t="s">
        <v>46</v>
      </c>
      <c r="C105" s="28" t="s">
        <v>47</v>
      </c>
    </row>
    <row r="106" spans="2:3" ht="12.75">
      <c r="B106" s="28" t="s">
        <v>46</v>
      </c>
      <c r="C106" s="28" t="s">
        <v>47</v>
      </c>
    </row>
    <row r="107" spans="2:3" ht="12.75">
      <c r="B107" s="28" t="s">
        <v>46</v>
      </c>
      <c r="C107" s="28" t="s">
        <v>47</v>
      </c>
    </row>
    <row r="108" spans="1:3" ht="12.75">
      <c r="A108" s="20"/>
      <c r="B108" s="28" t="s">
        <v>45</v>
      </c>
      <c r="C108" s="28"/>
    </row>
    <row r="109" spans="2:3" ht="12.75">
      <c r="B109" s="28" t="s">
        <v>46</v>
      </c>
      <c r="C109" s="28" t="s">
        <v>46</v>
      </c>
    </row>
    <row r="110" spans="2:3" ht="12.75">
      <c r="B110" s="28" t="s">
        <v>46</v>
      </c>
      <c r="C110" s="28" t="s">
        <v>47</v>
      </c>
    </row>
    <row r="111" spans="2:3" ht="12.75">
      <c r="B111" s="28" t="s">
        <v>46</v>
      </c>
      <c r="C111" s="28" t="s">
        <v>46</v>
      </c>
    </row>
    <row r="112" spans="2:3" ht="12.75">
      <c r="B112" s="28" t="s">
        <v>46</v>
      </c>
      <c r="C112" s="28" t="s">
        <v>47</v>
      </c>
    </row>
    <row r="113" spans="2:3" ht="12.75">
      <c r="B113" s="28" t="s">
        <v>46</v>
      </c>
      <c r="C113" s="28" t="s">
        <v>46</v>
      </c>
    </row>
    <row r="114" spans="2:3" ht="12.75">
      <c r="B114" s="28" t="s">
        <v>46</v>
      </c>
      <c r="C114" s="28" t="s">
        <v>47</v>
      </c>
    </row>
    <row r="115" spans="2:3" ht="12.75">
      <c r="B115" s="28" t="s">
        <v>46</v>
      </c>
      <c r="C115" s="28" t="s">
        <v>47</v>
      </c>
    </row>
    <row r="116" spans="2:3" ht="12.75">
      <c r="B116" s="28"/>
      <c r="C116" s="28"/>
    </row>
    <row r="117" spans="1:27" s="28" customFormat="1" ht="12.75">
      <c r="A117" s="20"/>
      <c r="B117" s="28" t="s">
        <v>45</v>
      </c>
      <c r="E117" s="29"/>
      <c r="F117" s="30"/>
      <c r="I117" s="29"/>
      <c r="J117" s="31"/>
      <c r="L117" s="15"/>
      <c r="M117" s="16"/>
      <c r="N117" s="16"/>
      <c r="O117" s="43"/>
      <c r="P117" s="45"/>
      <c r="Q117" s="43"/>
      <c r="R117" s="15"/>
      <c r="S117" s="45"/>
      <c r="T117" s="45"/>
      <c r="U117" s="43"/>
      <c r="W117" s="15"/>
      <c r="X117" s="26"/>
      <c r="Y117" s="45"/>
      <c r="AA117" s="43"/>
    </row>
    <row r="118" spans="2:3" ht="12.75">
      <c r="B118" s="28" t="s">
        <v>46</v>
      </c>
      <c r="C118" s="28" t="s">
        <v>47</v>
      </c>
    </row>
    <row r="119" spans="2:3" ht="12.75">
      <c r="B119" s="28" t="s">
        <v>47</v>
      </c>
      <c r="C119" s="28" t="s">
        <v>47</v>
      </c>
    </row>
    <row r="120" spans="2:3" ht="12.75">
      <c r="B120" s="28" t="s">
        <v>46</v>
      </c>
      <c r="C120" s="28" t="s">
        <v>46</v>
      </c>
    </row>
    <row r="121" spans="2:3" ht="12.75">
      <c r="B121" s="28" t="s">
        <v>47</v>
      </c>
      <c r="C121" s="28" t="s">
        <v>47</v>
      </c>
    </row>
    <row r="122" spans="2:3" ht="12.75">
      <c r="B122" s="28" t="s">
        <v>46</v>
      </c>
      <c r="C122" s="28" t="s">
        <v>47</v>
      </c>
    </row>
    <row r="123" spans="2:3" ht="12.75">
      <c r="B123" s="28"/>
      <c r="C123" s="28"/>
    </row>
    <row r="128" spans="1:27" s="36" customFormat="1" ht="12.75">
      <c r="A128" s="20"/>
      <c r="E128" s="37"/>
      <c r="F128" s="38"/>
      <c r="I128" s="37"/>
      <c r="J128" s="39"/>
      <c r="L128" s="15"/>
      <c r="M128" s="16"/>
      <c r="N128" s="16"/>
      <c r="O128" s="42"/>
      <c r="P128" s="54"/>
      <c r="Q128" s="42"/>
      <c r="R128" s="1"/>
      <c r="S128" s="54"/>
      <c r="T128" s="54"/>
      <c r="U128" s="42"/>
      <c r="W128" s="1"/>
      <c r="X128" s="22"/>
      <c r="Y128" s="54"/>
      <c r="AA128" s="42"/>
    </row>
    <row r="129" spans="1:27" s="36" customFormat="1" ht="12.75">
      <c r="A129" s="17"/>
      <c r="B129" s="28" t="s">
        <v>46</v>
      </c>
      <c r="E129" s="37"/>
      <c r="F129" s="38"/>
      <c r="I129" s="37"/>
      <c r="J129" s="39"/>
      <c r="L129" s="15"/>
      <c r="M129" s="16"/>
      <c r="N129" s="16"/>
      <c r="O129" s="42"/>
      <c r="P129" s="54"/>
      <c r="Q129" s="42"/>
      <c r="R129" s="1"/>
      <c r="S129" s="54"/>
      <c r="T129" s="54"/>
      <c r="U129" s="42"/>
      <c r="W129" s="1"/>
      <c r="X129" s="22"/>
      <c r="Y129" s="54"/>
      <c r="AA129" s="42"/>
    </row>
    <row r="130" spans="1:27" s="36" customFormat="1" ht="12.75">
      <c r="A130" s="17"/>
      <c r="B130" s="28" t="s">
        <v>46</v>
      </c>
      <c r="E130" s="37"/>
      <c r="F130" s="38"/>
      <c r="I130" s="37"/>
      <c r="J130" s="39"/>
      <c r="L130" s="15"/>
      <c r="M130" s="16"/>
      <c r="N130" s="16"/>
      <c r="O130" s="42"/>
      <c r="P130" s="54"/>
      <c r="Q130" s="42"/>
      <c r="R130" s="1"/>
      <c r="S130" s="54"/>
      <c r="T130" s="54"/>
      <c r="U130" s="42"/>
      <c r="W130" s="1"/>
      <c r="X130" s="22"/>
      <c r="Y130" s="54"/>
      <c r="AA130" s="42"/>
    </row>
    <row r="131" spans="1:27" s="36" customFormat="1" ht="12.75">
      <c r="A131" s="17"/>
      <c r="E131" s="37"/>
      <c r="F131" s="38"/>
      <c r="I131" s="37"/>
      <c r="J131" s="39"/>
      <c r="L131" s="15"/>
      <c r="M131" s="16"/>
      <c r="N131" s="16"/>
      <c r="O131" s="42"/>
      <c r="P131" s="54"/>
      <c r="Q131" s="42"/>
      <c r="R131" s="1"/>
      <c r="S131" s="54"/>
      <c r="T131" s="54"/>
      <c r="U131" s="42"/>
      <c r="W131" s="1"/>
      <c r="X131" s="22"/>
      <c r="Y131" s="54"/>
      <c r="AA131" s="42"/>
    </row>
  </sheetData>
  <printOptions gridLines="1"/>
  <pageMargins left="0.75" right="0.75" top="0.7" bottom="0.5" header="0.5" footer="0.5"/>
  <pageSetup horizontalDpi="600" verticalDpi="600" orientation="portrait" r:id="rId1"/>
  <headerFooter alignWithMargins="0">
    <oddHeader xml:space="preserve">&amp;C&amp;"Helv,Bold"NRAA BUDGET COMPARISON  </oddHeader>
  </headerFooter>
  <rowBreaks count="1" manualBreakCount="1">
    <brk id="7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NEIL SCULLY</cp:lastModifiedBy>
  <cp:lastPrinted>2003-01-22T17:08:54Z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